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Zał. nr 1" sheetId="1" r:id="rId1"/>
    <sheet name="Zał. nr 2" sheetId="2" r:id="rId2"/>
    <sheet name="Zał. nr 3 " sheetId="3" r:id="rId3"/>
    <sheet name="Zał. nr 4." sheetId="4" r:id="rId4"/>
    <sheet name="Zał. nr 5," sheetId="5" r:id="rId5"/>
    <sheet name="Zał. nr 6." sheetId="6" r:id="rId6"/>
    <sheet name="Zał. nr 7" sheetId="7" r:id="rId7"/>
    <sheet name="Zał. nr 8" sheetId="8" r:id="rId8"/>
    <sheet name="zał.nr 9." sheetId="9" r:id="rId9"/>
    <sheet name="Zał. nr 10" sheetId="10" r:id="rId10"/>
    <sheet name="Zał. nr 11" sheetId="11" r:id="rId11"/>
    <sheet name="zał. nr 13 odpady komunalne" sheetId="12" r:id="rId12"/>
    <sheet name="Arkusz1" sheetId="13" r:id="rId13"/>
  </sheets>
  <definedNames>
    <definedName name="Excel_BuiltIn_Print_Titles_2" localSheetId="10">#REF!</definedName>
    <definedName name="Excel_BuiltIn_Print_Titles_2" localSheetId="11">#REF!</definedName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>#REF!</definedName>
    <definedName name="Excel_BuiltIn_Print_Titles_2_1" localSheetId="10">#REF!</definedName>
    <definedName name="Excel_BuiltIn_Print_Titles_2_1" localSheetId="11">#REF!</definedName>
    <definedName name="Excel_BuiltIn_Print_Titles_2_1" localSheetId="2">#REF!</definedName>
    <definedName name="Excel_BuiltIn_Print_Titles_2_1" localSheetId="3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 localSheetId="7">#REF!</definedName>
    <definedName name="Excel_BuiltIn_Print_Titles_2_1" localSheetId="8">#REF!</definedName>
    <definedName name="Excel_BuiltIn_Print_Titles_2_1">#REF!</definedName>
    <definedName name="Excel_BuiltIn_Print_Titles_2_1_1" localSheetId="10">#REF!</definedName>
    <definedName name="Excel_BuiltIn_Print_Titles_2_1_1" localSheetId="1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4">#REF!</definedName>
    <definedName name="Excel_BuiltIn_Print_Titles_2_1_1" localSheetId="5">#REF!</definedName>
    <definedName name="Excel_BuiltIn_Print_Titles_2_1_1" localSheetId="6">#REF!</definedName>
    <definedName name="Excel_BuiltIn_Print_Titles_2_1_1" localSheetId="7">#REF!</definedName>
    <definedName name="Excel_BuiltIn_Print_Titles_2_1_1" localSheetId="8">#REF!</definedName>
    <definedName name="Excel_BuiltIn_Print_Titles_2_1_1">#REF!</definedName>
    <definedName name="Excel_BuiltIn_Print_Titles_3_1" localSheetId="10">#REF!</definedName>
    <definedName name="Excel_BuiltIn_Print_Titles_3_1" localSheetId="11">#REF!</definedName>
    <definedName name="Excel_BuiltIn_Print_Titles_3_1" localSheetId="2">#REF!</definedName>
    <definedName name="Excel_BuiltIn_Print_Titles_3_1" localSheetId="3">#REF!</definedName>
    <definedName name="Excel_BuiltIn_Print_Titles_3_1" localSheetId="4">#REF!</definedName>
    <definedName name="Excel_BuiltIn_Print_Titles_3_1" localSheetId="5">#REF!</definedName>
    <definedName name="Excel_BuiltIn_Print_Titles_3_1" localSheetId="6">#REF!</definedName>
    <definedName name="Excel_BuiltIn_Print_Titles_3_1" localSheetId="7">#REF!</definedName>
    <definedName name="Excel_BuiltIn_Print_Titles_3_1" localSheetId="8">#REF!</definedName>
    <definedName name="Excel_BuiltIn_Print_Titles_3_1">#REF!</definedName>
    <definedName name="Excel_BuiltIn_Print_Titles_3_1_1" localSheetId="10">#REF!</definedName>
    <definedName name="Excel_BuiltIn_Print_Titles_3_1_1" localSheetId="1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4">#REF!</definedName>
    <definedName name="Excel_BuiltIn_Print_Titles_3_1_1" localSheetId="5">#REF!</definedName>
    <definedName name="Excel_BuiltIn_Print_Titles_3_1_1" localSheetId="6">#REF!</definedName>
    <definedName name="Excel_BuiltIn_Print_Titles_3_1_1" localSheetId="7">#REF!</definedName>
    <definedName name="Excel_BuiltIn_Print_Titles_3_1_1" localSheetId="8">#REF!</definedName>
    <definedName name="Excel_BuiltIn_Print_Titles_3_1_1">#REF!</definedName>
    <definedName name="Excel_BuiltIn_Print_Titles_5" localSheetId="10">#REF!</definedName>
    <definedName name="Excel_BuiltIn_Print_Titles_5" localSheetId="11">#REF!</definedName>
    <definedName name="Excel_BuiltIn_Print_Titles_5" localSheetId="2">#REF!</definedName>
    <definedName name="Excel_BuiltIn_Print_Titles_5" localSheetId="3">#REF!</definedName>
    <definedName name="Excel_BuiltIn_Print_Titles_5" localSheetId="4">#REF!</definedName>
    <definedName name="Excel_BuiltIn_Print_Titles_5" localSheetId="5">#REF!</definedName>
    <definedName name="Excel_BuiltIn_Print_Titles_5" localSheetId="6">#REF!</definedName>
    <definedName name="Excel_BuiltIn_Print_Titles_5" localSheetId="7">#REF!</definedName>
    <definedName name="Excel_BuiltIn_Print_Titles_5" localSheetId="8">#REF!</definedName>
    <definedName name="Excel_BuiltIn_Print_Titles_5">#REF!</definedName>
    <definedName name="Excel_BuiltIn_Print_Titles_5_1" localSheetId="10">#REF!</definedName>
    <definedName name="Excel_BuiltIn_Print_Titles_5_1" localSheetId="11">#REF!</definedName>
    <definedName name="Excel_BuiltIn_Print_Titles_5_1" localSheetId="2">#REF!</definedName>
    <definedName name="Excel_BuiltIn_Print_Titles_5_1" localSheetId="3">#REF!</definedName>
    <definedName name="Excel_BuiltIn_Print_Titles_5_1" localSheetId="4">#REF!</definedName>
    <definedName name="Excel_BuiltIn_Print_Titles_5_1" localSheetId="5">#REF!</definedName>
    <definedName name="Excel_BuiltIn_Print_Titles_5_1" localSheetId="6">#REF!</definedName>
    <definedName name="Excel_BuiltIn_Print_Titles_5_1" localSheetId="7">#REF!</definedName>
    <definedName name="Excel_BuiltIn_Print_Titles_5_1" localSheetId="8">#REF!</definedName>
    <definedName name="Excel_BuiltIn_Print_Titles_5_1">#REF!</definedName>
    <definedName name="Excel_BuiltIn_Print_Titles_6" localSheetId="10">#REF!</definedName>
    <definedName name="Excel_BuiltIn_Print_Titles_6" localSheetId="11">#REF!</definedName>
    <definedName name="Excel_BuiltIn_Print_Titles_6" localSheetId="2">#REF!</definedName>
    <definedName name="Excel_BuiltIn_Print_Titles_6" localSheetId="3">#REF!</definedName>
    <definedName name="Excel_BuiltIn_Print_Titles_6" localSheetId="4">#REF!</definedName>
    <definedName name="Excel_BuiltIn_Print_Titles_6" localSheetId="5">#REF!</definedName>
    <definedName name="Excel_BuiltIn_Print_Titles_6" localSheetId="6">#REF!</definedName>
    <definedName name="Excel_BuiltIn_Print_Titles_6" localSheetId="7">#REF!</definedName>
    <definedName name="Excel_BuiltIn_Print_Titles_6" localSheetId="8">#REF!</definedName>
    <definedName name="Excel_BuiltIn_Print_Titles_6">#REF!</definedName>
    <definedName name="Excel_BuiltIn_Print_Titles_6_1" localSheetId="10">#REF!</definedName>
    <definedName name="Excel_BuiltIn_Print_Titles_6_1" localSheetId="11">#REF!</definedName>
    <definedName name="Excel_BuiltIn_Print_Titles_6_1" localSheetId="2">#REF!</definedName>
    <definedName name="Excel_BuiltIn_Print_Titles_6_1" localSheetId="3">#REF!</definedName>
    <definedName name="Excel_BuiltIn_Print_Titles_6_1" localSheetId="4">#REF!</definedName>
    <definedName name="Excel_BuiltIn_Print_Titles_6_1" localSheetId="5">#REF!</definedName>
    <definedName name="Excel_BuiltIn_Print_Titles_6_1" localSheetId="6">#REF!</definedName>
    <definedName name="Excel_BuiltIn_Print_Titles_6_1" localSheetId="7">#REF!</definedName>
    <definedName name="Excel_BuiltIn_Print_Titles_6_1" localSheetId="8">#REF!</definedName>
    <definedName name="Excel_BuiltIn_Print_Titles_6_1">#REF!</definedName>
    <definedName name="Excel_BuiltIn_Print_Titles_8" localSheetId="10">#REF!</definedName>
    <definedName name="Excel_BuiltIn_Print_Titles_8" localSheetId="1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>#REF!</definedName>
    <definedName name="Excel_BuiltIn_Print_Titles_8_1" localSheetId="10">#REF!</definedName>
    <definedName name="Excel_BuiltIn_Print_Titles_8_1" localSheetId="11">#REF!</definedName>
    <definedName name="Excel_BuiltIn_Print_Titles_8_1" localSheetId="2">#REF!</definedName>
    <definedName name="Excel_BuiltIn_Print_Titles_8_1" localSheetId="3">#REF!</definedName>
    <definedName name="Excel_BuiltIn_Print_Titles_8_1" localSheetId="4">#REF!</definedName>
    <definedName name="Excel_BuiltIn_Print_Titles_8_1" localSheetId="5">#REF!</definedName>
    <definedName name="Excel_BuiltIn_Print_Titles_8_1" localSheetId="6">#REF!</definedName>
    <definedName name="Excel_BuiltIn_Print_Titles_8_1" localSheetId="7">#REF!</definedName>
    <definedName name="Excel_BuiltIn_Print_Titles_8_1" localSheetId="8">#REF!</definedName>
    <definedName name="Excel_BuiltIn_Print_Titles_8_1">#REF!</definedName>
    <definedName name="_xlnm.Print_Titles" localSheetId="0">'Zał. nr 1'!$6:$7</definedName>
    <definedName name="_xlnm.Print_Titles" localSheetId="11">'zał. nr 13 odpady komunalne'!$16:$16</definedName>
    <definedName name="_xlnm.Print_Titles" localSheetId="1">'Zał. nr 2'!$7:$8</definedName>
    <definedName name="_xlnm.Print_Titles" localSheetId="3">'Zał. nr 4.'!$4:$6</definedName>
    <definedName name="_xlnm.Print_Titles" localSheetId="4">'Zał. nr 5,'!$5:$6</definedName>
    <definedName name="_xlnm.Print_Titles" localSheetId="6">'Zał. nr 7'!$5:$6</definedName>
    <definedName name="_xlnm.Print_Titles" localSheetId="7">'Zał. nr 8'!$7:$7</definedName>
    <definedName name="_xlnm.Print_Titles" localSheetId="8">'zał.nr 9.'!$6:$9</definedName>
    <definedName name="zal.3" localSheetId="10">#REF!</definedName>
    <definedName name="zal.3" localSheetId="11">#REF!</definedName>
    <definedName name="zal.3" localSheetId="2">#REF!</definedName>
    <definedName name="zal.3" localSheetId="3">#REF!</definedName>
    <definedName name="zal.3" localSheetId="4">#REF!</definedName>
    <definedName name="zal.3" localSheetId="5">#REF!</definedName>
    <definedName name="zal.3" localSheetId="6">#REF!</definedName>
    <definedName name="zal.3" localSheetId="7">#REF!</definedName>
    <definedName name="zal.3" localSheetId="8">#REF!</definedName>
    <definedName name="zal.3">#REF!</definedName>
  </definedNames>
  <calcPr fullCalcOnLoad="1"/>
</workbook>
</file>

<file path=xl/sharedStrings.xml><?xml version="1.0" encoding="utf-8"?>
<sst xmlns="http://schemas.openxmlformats.org/spreadsheetml/2006/main" count="3039" uniqueCount="965">
  <si>
    <t>Dział</t>
  </si>
  <si>
    <t>Rozdział</t>
  </si>
  <si>
    <t>§</t>
  </si>
  <si>
    <t>Nazwa</t>
  </si>
  <si>
    <t>Dotacje</t>
  </si>
  <si>
    <t xml:space="preserve">Wydatki </t>
  </si>
  <si>
    <t>Plan po zmianie na 14.12.2018r.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</si>
  <si>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</si>
  <si>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</si>
  <si>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</si>
  <si>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</si>
  <si>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</si>
  <si>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</si>
  <si>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</si>
  <si>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</si>
  <si>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</si>
  <si>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</si>
  <si>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</si>
  <si>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Administracja publiczna</t>
  </si>
  <si>
    <t>Urzędy wojewódzkie</t>
  </si>
  <si>
    <t>Wydatki osobowe niezaliczane do wynagrodzeń</t>
  </si>
  <si>
    <t>Dodatkowe wynagrodzenia roczne</t>
  </si>
  <si>
    <t>Podróże służbowe krajowe</t>
  </si>
  <si>
    <t>Szkolenia pracowników niebędących członkami korpusu służby cywilnej</t>
  </si>
  <si>
    <t>Różne rozliczenia finansowe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</si>
  <si>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</si>
  <si>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</si>
  <si>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Rózne wydatki na rzecz osób fizycznych</t>
  </si>
  <si>
    <t>Wynagrodzenia bezosobowe</t>
  </si>
  <si>
    <t>Zaku energii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</si>
  <si>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</si>
  <si>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</si>
  <si>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</si>
  <si>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Pomoc społeczna</t>
  </si>
  <si>
    <t>Ośrodki wsparcia</t>
  </si>
  <si>
    <t>Dotacje celowe otrzymane z budżetu państwa na inwestycje i zakupy inwestycyjne z zakresu administracji rządowej oraz innych zadań zleconych gminie ustawami</t>
  </si>
  <si>
    <t>Zakup środków żywności</t>
  </si>
  <si>
    <t>Zakup energii</t>
  </si>
  <si>
    <t>Zakup usług zdrowotnych</t>
  </si>
  <si>
    <t>Opłaty z tytułu zakupu usług telekomunikacyjnych telefonii komórkowej</t>
  </si>
  <si>
    <t>Odpisy na zakładowy fundusz świadczeń socjalnych</t>
  </si>
  <si>
    <t>Wydatki inwestycyjne jednostek budżetowych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</si>
  <si>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</si>
  <si>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</si>
  <si>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Dodatki mieszkaniowe</t>
  </si>
  <si>
    <t>Świadczenia spoleczne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</si>
  <si>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</si>
  <si>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</si>
  <si>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</si>
  <si>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</si>
  <si>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społeczne</t>
  </si>
  <si>
    <t>Świadczenia rodzinne, świadczenie z funduszu alimentacyjnego oraz składki na ubezpieczenia emerytalne i rentowe z ubezpieczenia społecznego</t>
  </si>
  <si>
    <t xml:space="preserve">Opłaty z tytułu zakupu usług telekomunikacyjnych </t>
  </si>
  <si>
    <t>Karta Dużej Rodziny</t>
  </si>
  <si>
    <t>Wspieranie rodziny</t>
  </si>
  <si>
    <t>OGÓŁEM:</t>
  </si>
  <si>
    <t>0830</t>
  </si>
  <si>
    <t>Wpływy z usług</t>
  </si>
  <si>
    <t>0920</t>
  </si>
  <si>
    <t>Wpływy z pozostałych odsetek</t>
  </si>
  <si>
    <t>0970</t>
  </si>
  <si>
    <t>Wpływy z różnych dochodów</t>
  </si>
  <si>
    <t>0980</t>
  </si>
  <si>
    <t>Wpływy z tytułu zwrotów wypłaconych świadczeń z funduszu alimentacyjnego</t>
  </si>
  <si>
    <t>Ogółem plan dochodów:</t>
  </si>
  <si>
    <t>Dochody</t>
  </si>
  <si>
    <t>Różne rozliczenia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</si>
  <si>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</si>
  <si>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</si>
  <si>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Gospodarka mieszkaniowa</t>
  </si>
  <si>
    <t>Gospodarka gruntami i nieruchomościami</t>
  </si>
  <si>
    <t>Wydatki na zakupy inwestycyjne jednostek budżetowych</t>
  </si>
  <si>
    <t>Promocja jednostek samorządu terytorialnego</t>
  </si>
  <si>
    <t>Szkoły podstawowe</t>
  </si>
  <si>
    <t>Zakup usług remontowych</t>
  </si>
  <si>
    <t>Zakup usług przez jednostki samorządu terytorialnego od innej jednostki samorządu terytorialnego</t>
  </si>
  <si>
    <t>Oddziały przedszkole przy szkołach podstawowych</t>
  </si>
  <si>
    <t>Przedszkola</t>
  </si>
  <si>
    <t>Zasiłki okresowe, celowe i pomoc w naturze oraz składki na ubezpieczenia emerytalne i rentowe</t>
  </si>
  <si>
    <t>Zasiłki stałe</t>
  </si>
  <si>
    <t>Ośrodki pomocy społecznej</t>
  </si>
  <si>
    <t>Pomoc w zakresie dożywiania</t>
  </si>
  <si>
    <t>Edukacyjna opieka wychowawcza</t>
  </si>
  <si>
    <t>Pomoc materialna dla uczniów o charakterze socjalnym</t>
  </si>
  <si>
    <t>Stypendia dla uczniów</t>
  </si>
  <si>
    <t>% wykonania</t>
  </si>
  <si>
    <t>Wykonanie na dzień: 31.12.2018r.</t>
  </si>
  <si>
    <t>Należności ogółem:</t>
  </si>
  <si>
    <t>b) plan i wykonanie dochodów</t>
  </si>
  <si>
    <t>a) plan i wykonanie dotacji i wydatków</t>
  </si>
  <si>
    <t>Urzędy Wojewódzkie</t>
  </si>
  <si>
    <t>0690</t>
  </si>
  <si>
    <t>w tym:</t>
  </si>
  <si>
    <t>potracone na rzecz jst</t>
  </si>
  <si>
    <t>Dochody przekazane</t>
  </si>
  <si>
    <t>Saldo końcowe</t>
  </si>
  <si>
    <t xml:space="preserve">w tym:
</t>
  </si>
  <si>
    <t>0640</t>
  </si>
  <si>
    <t>Wplywy z kosztów egzekucyjnych, opłaty komorniczej i kosztów upomnień</t>
  </si>
  <si>
    <t>Lp.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</si>
  <si>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</si>
  <si>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</si>
  <si>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</si>
  <si>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</si>
  <si>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</si>
  <si>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</si>
  <si>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</si>
  <si>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6.</t>
  </si>
  <si>
    <t>RAZEM PRZYCHODY/ROZCHODY</t>
  </si>
  <si>
    <t xml:space="preserve">OGÓŁEM </t>
  </si>
  <si>
    <t>Nazwa zadania majątkowego</t>
  </si>
  <si>
    <t xml:space="preserve">Dział </t>
  </si>
  <si>
    <t>Paragraf</t>
  </si>
  <si>
    <t>Wykonawca /                   Termin realizacji</t>
  </si>
  <si>
    <t>6</t>
  </si>
  <si>
    <t>7</t>
  </si>
  <si>
    <t>8</t>
  </si>
  <si>
    <t>9</t>
  </si>
  <si>
    <t>600</t>
  </si>
  <si>
    <t>60014</t>
  </si>
  <si>
    <t>6300</t>
  </si>
  <si>
    <t>Urząd Miejski w Rogoźnie 
Została zawarta umowa 
z Powiatem obornickim 
w dniu 10.04.2018r.
Termin realizacji: 2015-2018</t>
  </si>
  <si>
    <t>2</t>
  </si>
  <si>
    <t>Urząd Miejski w Rogoźnie 
Została zawarta umowa z Powiatem obornickim
w dniu 10.04.2018r.
Termin realizacji: 2018</t>
  </si>
  <si>
    <t>3</t>
  </si>
  <si>
    <t>4</t>
  </si>
  <si>
    <t>60016</t>
  </si>
  <si>
    <t>6050</t>
  </si>
  <si>
    <t>Urząd Miejski w Rogoźnie
Wykonawca:BIMEX sp. z o.o. sp.K. Rogoźno
Termin realizacji: 2010-2018</t>
  </si>
  <si>
    <t>5</t>
  </si>
  <si>
    <t>Urząd Miejski w Rogoźnie 
Wykonawca: zostanie wyłoniony w drodze zamównień publicznych
Termin realizacji: 2018</t>
  </si>
  <si>
    <t>Urząd Miejski w Rogoźnie 
Wykonawca: ANMAK Paweł Wojtusik Rogoźno
Termin realizacji: 2018</t>
  </si>
  <si>
    <t>Urząd Miejski w Rogoźnie 
Wykonawca: BIMEX sp. z o.o. sp.K. Rogoźno
Termin realizacji: 2018</t>
  </si>
  <si>
    <t>10</t>
  </si>
  <si>
    <t>11</t>
  </si>
  <si>
    <t>12</t>
  </si>
  <si>
    <t>Urząd Miejski w Rogoźnie 
Wykonawca: zostanie wyłoniony w drodze zamównień publicznych
Termin realizacji: 2016-2018</t>
  </si>
  <si>
    <t>13</t>
  </si>
  <si>
    <t>14</t>
  </si>
  <si>
    <t>Urząd Miejski w Rogoźnie 
Wykonawca: Aquabwllis sp. z o.o. w Rogoźnie
Termin realizacji: 2018</t>
  </si>
  <si>
    <t>15</t>
  </si>
  <si>
    <t>16</t>
  </si>
  <si>
    <t>17</t>
  </si>
  <si>
    <t>630</t>
  </si>
  <si>
    <t>63095</t>
  </si>
  <si>
    <t>6060</t>
  </si>
  <si>
    <t>18</t>
  </si>
  <si>
    <t>700</t>
  </si>
  <si>
    <t>70005</t>
  </si>
  <si>
    <t>Urząd Miejski w Rogoźnie 
Wykonawca: Przedsiębiorstwo Budowlano - Handlowe "REMBUDEX" Oborniki
Termin realizacji: 2016-2018</t>
  </si>
  <si>
    <t>19</t>
  </si>
  <si>
    <t>Urząd Miejski w Rogoźnie
Termin realizacji: 2018</t>
  </si>
  <si>
    <t>20</t>
  </si>
  <si>
    <t>Urząd Miejski w Rogoźnie
Umowa zostanła zawarta ze Spółdzielnią Mieszkaniową w Obornikach
Termin realizacji 2018-2020</t>
  </si>
  <si>
    <t>21</t>
  </si>
  <si>
    <t>750</t>
  </si>
  <si>
    <t>75022</t>
  </si>
  <si>
    <t>Urząd Miejski w Rogoźnie 
Dostawca: zostanie wyłoniony w drodze zamównień publicznych
Termin realizacji: 2018</t>
  </si>
  <si>
    <t>22</t>
  </si>
  <si>
    <t>75023</t>
  </si>
  <si>
    <t>23</t>
  </si>
  <si>
    <t>24</t>
  </si>
  <si>
    <t>754</t>
  </si>
  <si>
    <t>25</t>
  </si>
  <si>
    <t>26</t>
  </si>
  <si>
    <t>75412</t>
  </si>
  <si>
    <t>Urząd Miejski w Rogoźnie 
Wykonawca: instalacji wodno-kanalizacyjnej i grzewczej - INSTAL Kmak Sławomir Rogoźno; dostwca materiałów - SANET Sławomir Ruks Rogoźno
Termin realizacji: 2015-2018</t>
  </si>
  <si>
    <t>27</t>
  </si>
  <si>
    <t>28</t>
  </si>
  <si>
    <t>29</t>
  </si>
  <si>
    <t>6230</t>
  </si>
  <si>
    <t>UrzMiejski w Rogoźnie
Została podpisana umowa z OSP Gosciejewo w dniu 14.08.2018r.
Termin realizacji: 2018</t>
  </si>
  <si>
    <t>30</t>
  </si>
  <si>
    <t>75416</t>
  </si>
  <si>
    <t>Urząd Miejski w Rogoźnie 
Dostawca: Pieluszyńska Sp. z o.o. Suchy Las
Termin realizacji: 2018</t>
  </si>
  <si>
    <t>31</t>
  </si>
  <si>
    <t>Przebudowa boiska wielofunkcyjnego w Szkole Podstawowej nr 2 w Rogoźnie</t>
  </si>
  <si>
    <t>801</t>
  </si>
  <si>
    <t>80101</t>
  </si>
  <si>
    <t>Urząd Miejski w Rogoźnie 
Wykonawca: zostanie wyłoniony w drodze zamównień publicznych
Termin realizacji: 2018-2019</t>
  </si>
  <si>
    <t>32</t>
  </si>
  <si>
    <t>Szkoła Podstawowa nr 3 w Rogoźnie
Wykonawca: AKTIV Place Zabaw Jausz Wachowiak Plewiska
Termin realizacji: 2018</t>
  </si>
  <si>
    <t>33</t>
  </si>
  <si>
    <t>80148</t>
  </si>
  <si>
    <t>Szkoła Podstawowa nr 3 w Rogoźnie
Dostawca: Łódzkie Zakłady Metalowe "LOZAMET"
 sp. z o.o. Łódż
Termin realizacji: 2018</t>
  </si>
  <si>
    <t>34</t>
  </si>
  <si>
    <t>851</t>
  </si>
  <si>
    <t>85111</t>
  </si>
  <si>
    <t>6220</t>
  </si>
  <si>
    <t>Urząd Miejski w Rogoźnie
Umowa dofinansowania została zawarta z SP ZOZ w Obornikach w dniu 13.08.2018r.</t>
  </si>
  <si>
    <t>35</t>
  </si>
  <si>
    <t>36</t>
  </si>
  <si>
    <t>85195</t>
  </si>
  <si>
    <t>Urząd Miejski w Rogoźnie
Dostawca: zostanie wyłoniony w drodze zamówien publicznych
Termin realizacji: 2018</t>
  </si>
  <si>
    <t>37</t>
  </si>
  <si>
    <t>852</t>
  </si>
  <si>
    <t>85203</t>
  </si>
  <si>
    <t>Urząd Miejski w Rogoźnie
Wykonawca: Centrum Integracji Społecznej w Rogoźnie
Termin realizacji: 2018</t>
  </si>
  <si>
    <t>38</t>
  </si>
  <si>
    <t>Dofinansowanie budowy przydomowych oczyszczalni ścieków na terenie gminy Rogoźno</t>
  </si>
  <si>
    <t>900</t>
  </si>
  <si>
    <t>90001</t>
  </si>
  <si>
    <t>39</t>
  </si>
  <si>
    <t>Wykonanie przyłączy kanalizacji sanitarnej podciśnieniowej i grawitacyjnej</t>
  </si>
  <si>
    <t>Urząd Miejski w Rogoźnie 
Wykonawca:  Aquabellis sp. z o.o. w Rogoźnie
Termin realizacji: 2018</t>
  </si>
  <si>
    <t>40</t>
  </si>
  <si>
    <t>90005</t>
  </si>
  <si>
    <t>41</t>
  </si>
  <si>
    <t>90015</t>
  </si>
  <si>
    <t>Urząd Miejski w Rogoźnie
Wykonawca: zostanie wyłoniony w drodze zamówień publicznych
Termin realizacji: 2018</t>
  </si>
  <si>
    <t>42</t>
  </si>
  <si>
    <t>90013</t>
  </si>
  <si>
    <t>Urząd Miejski w Rogoźnie 
Została zawarta umowa z Gminą Oborniki
w dniu 10.05.2018r.
Termin realizacji: 2018</t>
  </si>
  <si>
    <t>921</t>
  </si>
  <si>
    <t>92109</t>
  </si>
  <si>
    <t>Urząd Miejski w Rogoźnie 
Zostanie zawarta umowa z Rogozińskim Centrum Kultury w Rogoźnie
Termin realizacji: 2018</t>
  </si>
  <si>
    <t>92118</t>
  </si>
  <si>
    <t>Urząd Miejski w Rogoźnie 
Wykonawca:  
1)PBH "REMBUDEX" Oborniki;
2) BIMEX Sp. z o.o. Sp. K. Rogoźno
Termin realizacji: 2015-2018</t>
  </si>
  <si>
    <t>6057</t>
  </si>
  <si>
    <t>6059</t>
  </si>
  <si>
    <t>926</t>
  </si>
  <si>
    <t>92601</t>
  </si>
  <si>
    <t>Urząd Miejski w Rogoźnie 
Wykonawca: zostanie wyłoniony w drodze zamównień publicznych
Termin realizacji: 2017- 2018</t>
  </si>
  <si>
    <t>Urząd Miejski w Rogoźnie 
Wykonawcy: 
1)FIRMA MARBUT Czernichów - zakup wyposażenia;
2) FUHP MIX-BUD Kowanowo - dostawa i montaż kontenerów;
3) K Power Rogoźno - monitoring;
4) ZPHU WIS-POL Rogoźno - wykonanie altan i wiaty;
5) grupa HYDRO s. Mosina - roboty budowlane, plac zabaw, siłownia zewnetrzna oraz boisko do piłki siatkowej plażowej.
Umowy zawarte w m-cu lipcu 2018r.
Trmin realizacji: 2018</t>
  </si>
  <si>
    <t>6058</t>
  </si>
  <si>
    <t>Urząd Miejski w Rogoźnie
Dostawca: STHIL Rogoźno
Termin realizacji: 2018</t>
  </si>
  <si>
    <t>RAZEM:</t>
  </si>
  <si>
    <t xml:space="preserve">                                                            </t>
  </si>
  <si>
    <t>Dotacje udzielone z budżetu Gminy  na zadania bieżące</t>
  </si>
  <si>
    <t>Treść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</si>
  <si>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</si>
  <si>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</si>
  <si>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</si>
  <si>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</si>
  <si>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</si>
  <si>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</si>
  <si>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</si>
  <si>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</si>
  <si>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</si>
  <si>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</si>
  <si>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</si>
  <si>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</si>
  <si>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</si>
  <si>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</si>
  <si>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Gimnazja</t>
  </si>
  <si>
    <t xml:space="preserve">Dotacje celowe przekazane dla powiatu na zadania bieżące realizowane na podstawie porozumień (umów)  między jednostkami samorządu terytorialnego </t>
  </si>
  <si>
    <t>Dotacja celowa na pomoc finansową udzieloną między jednostkami samorządu terytorialnego na dofiansowanie własnych zadań bieżących</t>
  </si>
  <si>
    <t>Ochrona zdrowia</t>
  </si>
  <si>
    <t>Przeciwdziałanie alkoholizmowi</t>
  </si>
  <si>
    <t>Gospodarka komunalna i ochrona środowiska</t>
  </si>
  <si>
    <t>Gospodarka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</si>
  <si>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</si>
  <si>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</si>
  <si>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</si>
  <si>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</si>
  <si>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</si>
  <si>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</si>
  <si>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</si>
  <si>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</si>
  <si>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Dotacja podmiotowa z budżetu dla niepublicznej jednostki systemu oświaty</t>
  </si>
  <si>
    <t>Realizacja zdań wymagających stosowania specjalnej organizacji nauk i metod pracy dla dzieci w przedszkolach, oddziałach przedszkolnych w szkołach podstawowych i innych form wychowania przedszkolnego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</si>
  <si>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</si>
  <si>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</si>
  <si>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</si>
  <si>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</si>
  <si>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</si>
  <si>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Bezpieczeństwo publiczne i ochrona przeciwpożarowa</t>
  </si>
  <si>
    <t>Ochotnicze straże pożarne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</si>
  <si>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</si>
  <si>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</si>
  <si>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</si>
  <si>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</si>
  <si>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</si>
  <si>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</si>
  <si>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</si>
  <si>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</si>
  <si>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</si>
  <si>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 xml:space="preserve">Plan
</t>
  </si>
  <si>
    <t>Transport i łączność</t>
  </si>
  <si>
    <t>Drogi publiczne powiatowe</t>
  </si>
  <si>
    <t>Szpitale ogólne</t>
  </si>
  <si>
    <t>Dotacje z budżetu na finansowanie lub dofinansowanie kosztów realizacji inwestycji i zakupów inwestycyjnych innych jednostek sektora finansów publicznych</t>
  </si>
  <si>
    <t>Bepieczeństwo publiczne i ochrona przeciwpożarowa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</si>
  <si>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</si>
  <si>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</si>
  <si>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</si>
  <si>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</si>
  <si>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</si>
  <si>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 xml:space="preserve">Nazwa zakładu budżetowego
</t>
  </si>
  <si>
    <t>Przychody</t>
  </si>
  <si>
    <t>Koszty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</si>
  <si>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</si>
  <si>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</si>
  <si>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</si>
  <si>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</si>
  <si>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</si>
  <si>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</si>
  <si>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 Kosztów eksploatacji mieszkań komunalnych w budynkach Wspólnot Mieszkaniowych o pow. 11.921,60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x 29,52zł/m</t>
    </r>
    <r>
      <rPr>
        <i/>
        <vertAlign val="superscript"/>
        <sz val="9"/>
        <color indexed="8"/>
        <rFont val="Calibri"/>
        <family val="2"/>
      </rPr>
      <t>2</t>
    </r>
  </si>
  <si>
    <r>
      <t>2)</t>
    </r>
    <r>
      <rPr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Calibri"/>
        <family val="2"/>
      </rPr>
      <t>Kosztów eksploatacji lokali socjalnych o pow. 508,62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x 28,92 zł/m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>,</t>
    </r>
  </si>
  <si>
    <r>
      <t>3) Kosztów eksploatacji lokali z wyrokami eksmisyjnymi o pow. 1.836,94m</t>
    </r>
    <r>
      <rPr>
        <i/>
        <vertAlign val="superscript"/>
        <sz val="9"/>
        <color indexed="8"/>
        <rFont val="Calibri"/>
        <family val="2"/>
      </rPr>
      <t xml:space="preserve">2 </t>
    </r>
    <r>
      <rPr>
        <i/>
        <sz val="9"/>
        <color indexed="8"/>
        <rFont val="Calibri"/>
        <family val="2"/>
      </rPr>
      <t>x</t>
    </r>
    <r>
      <rPr>
        <i/>
        <vertAlign val="superscript"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39,86zł/m</t>
    </r>
    <r>
      <rPr>
        <i/>
        <vertAlign val="superscript"/>
        <sz val="9"/>
        <color indexed="8"/>
        <rFont val="Calibri"/>
        <family val="2"/>
      </rPr>
      <t>2</t>
    </r>
  </si>
  <si>
    <t>Centrum Integracji Społecznej</t>
  </si>
  <si>
    <t xml:space="preserve">1) kosztów uczestnikow zajęć i pracowników Centrum 41 osób x 3.658,54zł 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</si>
  <si>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</si>
  <si>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</si>
  <si>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</si>
  <si>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DOCHODY</t>
  </si>
  <si>
    <t>Kwota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</si>
  <si>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</si>
  <si>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</si>
  <si>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</si>
  <si>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</si>
  <si>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</si>
  <si>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Zwalczanie narkomanii</t>
  </si>
  <si>
    <t>Dotacja celowa na pomoc finansową udzieloną między jednostkami samorządu terytorialnego na dofinansowanie własnych zadań bieżących</t>
  </si>
  <si>
    <t xml:space="preserve">                                                                     </t>
  </si>
  <si>
    <t xml:space="preserve">Porozumienia z jednostkami samorządu terytorialnego </t>
  </si>
  <si>
    <t>Drogi publiczne wojewódzkie</t>
  </si>
  <si>
    <t>Dotacje celowe otrzymane od samorządu województwa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</si>
  <si>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</si>
  <si>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Pozozumienia między organami administracji rządowej</t>
  </si>
  <si>
    <t>Kultura fizyczna</t>
  </si>
  <si>
    <t>Obiekty sportowe</t>
  </si>
  <si>
    <t>OGÓŁEM (pkt 1+ pkt 2):</t>
  </si>
  <si>
    <t>Drogi publiczne gminne</t>
  </si>
  <si>
    <t>4210</t>
  </si>
  <si>
    <t>4300</t>
  </si>
  <si>
    <t>Turystyka</t>
  </si>
  <si>
    <t>80104</t>
  </si>
  <si>
    <t>80195</t>
  </si>
  <si>
    <t>90004</t>
  </si>
  <si>
    <t>Utrzymanie zieleni w miastach i gminach</t>
  </si>
  <si>
    <t>4170</t>
  </si>
  <si>
    <t>Oświetlenie ulic, placów i dróg</t>
  </si>
  <si>
    <t>4110</t>
  </si>
  <si>
    <t>4120</t>
  </si>
  <si>
    <t>4360</t>
  </si>
  <si>
    <t>92116</t>
  </si>
  <si>
    <t>92195</t>
  </si>
  <si>
    <t>92695</t>
  </si>
  <si>
    <t>Razem:</t>
  </si>
  <si>
    <t>z tego:</t>
  </si>
  <si>
    <t>Wykonanie</t>
  </si>
  <si>
    <t>7.</t>
  </si>
  <si>
    <t>8.</t>
  </si>
  <si>
    <t>9.</t>
  </si>
  <si>
    <t xml:space="preserve">                                                       </t>
  </si>
  <si>
    <t>Wpływy i wydatki związane z gromadzeniem środków z opłat i kar za korzystanie ze środowiska</t>
  </si>
  <si>
    <t>Wpływy z różnych opłat</t>
  </si>
  <si>
    <t xml:space="preserve"> WYDATKI</t>
  </si>
  <si>
    <t xml:space="preserve">Plan </t>
  </si>
  <si>
    <t>Gospodarka ściekowa i ochrona środowiska</t>
  </si>
  <si>
    <t>x</t>
  </si>
  <si>
    <t>Plan i wykonanie dochodów i wydatków związanych z realizacją zadań wykonywanych na podstawie porozumień</t>
  </si>
  <si>
    <t>PLAN I WYKONANIE</t>
  </si>
  <si>
    <t xml:space="preserve">Załącznik nr 5 do sprawozdania opisowego </t>
  </si>
  <si>
    <t xml:space="preserve">Załącznik nr 6 do sprawozdania opisowego </t>
  </si>
  <si>
    <t>Załącznik nr 10 do sprawpzdania opisowego</t>
  </si>
  <si>
    <t>Załącznik nr 11 do sprawozdania opisowego</t>
  </si>
  <si>
    <t>PLAN I WYKONANIE DOCHODÓW Z TYTUŁU WYDAWANIA ZEZWOLEŃ NA SPRZEDAŻ</t>
  </si>
  <si>
    <t>Przychodów</t>
  </si>
  <si>
    <t>Rozchodów</t>
  </si>
  <si>
    <r>
      <t xml:space="preserve">Wolne środki, o których mowa w art. 217 ust. 2 pkt 6 ustawy </t>
    </r>
    <r>
      <rPr>
        <b/>
        <i/>
        <sz val="11"/>
        <rFont val="Arial CE"/>
        <family val="2"/>
      </rPr>
      <t xml:space="preserve">- </t>
    </r>
    <r>
      <rPr>
        <i/>
        <sz val="11"/>
        <rFont val="Arial CE"/>
        <family val="2"/>
      </rPr>
      <t>wprowadzone 28.02.2018r.</t>
    </r>
  </si>
  <si>
    <t>PRZYCHODÓW I ROZCHODÓW ZWIĄZANY Z FINANSOWANIEM DEFICYTU I ROZDYSPONOWANIEM</t>
  </si>
  <si>
    <t>Załącznik nr 4 do sprawozdania opisowego</t>
  </si>
  <si>
    <t>01042</t>
  </si>
  <si>
    <t>Wyłączenie z produkcji gruntów rolnych</t>
  </si>
  <si>
    <t>20 000,00</t>
  </si>
  <si>
    <t>2710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</si>
  <si>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</si>
  <si>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</si>
  <si>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</si>
  <si>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</si>
  <si>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</si>
  <si>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</si>
  <si>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</si>
  <si>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</si>
  <si>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</si>
  <si>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25 000,00</t>
  </si>
  <si>
    <t>05095</t>
  </si>
  <si>
    <t>60013</t>
  </si>
  <si>
    <t>10 000,00</t>
  </si>
  <si>
    <t>2330</t>
  </si>
  <si>
    <t>0490</t>
  </si>
  <si>
    <t>Wpływy z innych lokalnych opłat pobieranych przez jednostki samorządu terytorialnego na podstawie odrębnych ustaw</t>
  </si>
  <si>
    <t>2460</t>
  </si>
  <si>
    <t>Środki otrzymane od pozostałych jednostek zaliczanych do sektora finansów publicznych na realizacje zadań bieżących jednostek zaliczanych do sektora finansów publicznych</t>
  </si>
  <si>
    <t>0470</t>
  </si>
  <si>
    <t>Wpływy z opłat za trwały zarząd, użytkowanie i służebności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</si>
  <si>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</si>
  <si>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</si>
  <si>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</si>
  <si>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</si>
  <si>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</si>
  <si>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</si>
  <si>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2 000,00</t>
  </si>
  <si>
    <t>0770</t>
  </si>
  <si>
    <t>Wpłaty z tytułu odpłatnego nabycia prawa własności oraz prawa użytkowania wieczystego nieruchomości</t>
  </si>
  <si>
    <t>1 000 000,00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</si>
  <si>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</si>
  <si>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</si>
  <si>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75011</t>
  </si>
  <si>
    <t>Urzędy gmin (miast i miast na prawach powiatu)</t>
  </si>
  <si>
    <t>0570</t>
  </si>
  <si>
    <t>Wpływy z tytułu grzywien, mandatów i innych kar pieniężnych od osób fizycznych</t>
  </si>
  <si>
    <t>1 000,00</t>
  </si>
  <si>
    <t>75075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</si>
  <si>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</si>
  <si>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</si>
  <si>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</si>
  <si>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</si>
  <si>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3 500,00</t>
  </si>
  <si>
    <t>2440</t>
  </si>
  <si>
    <t>Dotacje otrzymane z państwowych funduszy celowych na realizację zadań bieżących jednostek sektora finansów publicznych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</si>
  <si>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</si>
  <si>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</si>
  <si>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</si>
  <si>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</si>
  <si>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</si>
  <si>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</si>
  <si>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</si>
  <si>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</si>
  <si>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</si>
  <si>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</si>
  <si>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</si>
  <si>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</si>
  <si>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</si>
  <si>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</si>
  <si>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</si>
  <si>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</si>
  <si>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</si>
  <si>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</si>
  <si>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</si>
  <si>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</si>
  <si>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</si>
  <si>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</si>
  <si>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</si>
  <si>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</si>
  <si>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</si>
  <si>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</si>
  <si>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</si>
  <si>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</si>
  <si>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</si>
  <si>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Wpływy z tytułu kosztów egzekucyjnych, opłaty komorniczej i kosztów upomnień</t>
  </si>
  <si>
    <t>11 000,00</t>
  </si>
  <si>
    <t>75618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</si>
  <si>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</si>
  <si>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</si>
  <si>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</si>
  <si>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</si>
  <si>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</si>
  <si>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</si>
  <si>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</si>
  <si>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</si>
  <si>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</si>
  <si>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1 500 000,00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</si>
  <si>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</si>
  <si>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</si>
  <si>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</si>
  <si>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</si>
  <si>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</si>
  <si>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</si>
  <si>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</si>
  <si>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</si>
  <si>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0940</t>
  </si>
  <si>
    <t>Wpływy z rozliczeń/zwrotów z lat ubiegłych</t>
  </si>
  <si>
    <t>2030</t>
  </si>
  <si>
    <t>Dotacje celowe otrzymane z budżetu państwa na realizację własnych zadań bieżących gmin (związków gmin, związków powiatowo-gminnych)</t>
  </si>
  <si>
    <t>2990</t>
  </si>
  <si>
    <t>Wpłata środków finansowych z niewykorzystanych w terminie wydatków, które nie wygasają z upływem roku budżetowego</t>
  </si>
  <si>
    <t>6330</t>
  </si>
  <si>
    <t>Dotacje celowe otrzymane z budżetu państwa na realizację inwestycji i zakupów inwestycyjnych własnych gmin (związków gmin, związków powiatowo-gminnych)</t>
  </si>
  <si>
    <t>6680</t>
  </si>
  <si>
    <t>75831</t>
  </si>
  <si>
    <t>Część równoważąca subwencji ogólnej dla gmin</t>
  </si>
  <si>
    <t>80103</t>
  </si>
  <si>
    <t>Oddziały przedszkolne w szkołach podstawowych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</si>
  <si>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</si>
  <si>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</si>
  <si>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</si>
  <si>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</si>
  <si>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</si>
  <si>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</si>
  <si>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</si>
  <si>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</si>
  <si>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</si>
  <si>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</si>
  <si>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</si>
  <si>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</si>
  <si>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</si>
  <si>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</si>
  <si>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</si>
  <si>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</si>
  <si>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</si>
  <si>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</si>
  <si>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</si>
  <si>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</si>
  <si>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</si>
  <si>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</si>
  <si>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</si>
  <si>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</si>
  <si>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96 000,00</t>
  </si>
  <si>
    <t>85215</t>
  </si>
  <si>
    <t>85216</t>
  </si>
  <si>
    <t>85219</t>
  </si>
  <si>
    <t>85228</t>
  </si>
  <si>
    <t>2360</t>
  </si>
  <si>
    <t>Dochody jednostek samorządu terytorialnego związane z realizacją zadań z zakresu administracji rządowej oraz innych zadań zleconych ustawami</t>
  </si>
  <si>
    <t>85230</t>
  </si>
  <si>
    <t>853</t>
  </si>
  <si>
    <t>85395</t>
  </si>
  <si>
    <t>854</t>
  </si>
  <si>
    <t>85415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</si>
  <si>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</si>
  <si>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</si>
  <si>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855</t>
  </si>
  <si>
    <t>85501</t>
  </si>
  <si>
    <t>Świadczenie wychowawcze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</si>
  <si>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</si>
  <si>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</si>
  <si>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</si>
  <si>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</si>
  <si>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</si>
  <si>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</si>
  <si>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62 000,00</t>
  </si>
  <si>
    <t>85503</t>
  </si>
  <si>
    <t>85504</t>
  </si>
  <si>
    <t>2690</t>
  </si>
  <si>
    <t>Środki z Funduszu Pracy otrzymane na realizację zadań wynikających z odrębnych ustaw</t>
  </si>
  <si>
    <t>90002</t>
  </si>
  <si>
    <t>4 000,00</t>
  </si>
  <si>
    <t>90019</t>
  </si>
  <si>
    <t>90095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</si>
  <si>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</si>
  <si>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</si>
  <si>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6320</t>
  </si>
  <si>
    <t>Dotacje celowe otrzymane z budżetu państwa na inwestycje i zakupy inwestycyjne realizowane przez gminę na podstawie porozumień z organami administracji rządowej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</si>
  <si>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</si>
  <si>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</si>
  <si>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</si>
  <si>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</si>
  <si>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</si>
  <si>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</si>
  <si>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</si>
  <si>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4010</t>
  </si>
  <si>
    <t>4430</t>
  </si>
  <si>
    <t>774,00</t>
  </si>
  <si>
    <t>4260</t>
  </si>
  <si>
    <t>480,00</t>
  </si>
  <si>
    <t>60004</t>
  </si>
  <si>
    <t>Dotacje celowe przekazane gminie na zadania bieżące realizowane na podstawie porozumień (umów) między jednostkami samorządu terytorialnego</t>
  </si>
  <si>
    <t>2820</t>
  </si>
  <si>
    <t>Dotacja celowa na pomoc finansową udzielaną między jednostkami samorządu terytorialnego na dofinansowanie własnych zadań inwestycyjnych i zakupów inwestycyjnych</t>
  </si>
  <si>
    <t>4270</t>
  </si>
  <si>
    <t>Opłaty z tytułu zakupu usług telekomunikacyjnych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</si>
  <si>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</si>
  <si>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</si>
  <si>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</si>
  <si>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</si>
  <si>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</si>
  <si>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700,00</t>
  </si>
  <si>
    <t>4510</t>
  </si>
  <si>
    <t>Opłaty na rzecz budżetu państwa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</si>
  <si>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</si>
  <si>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</si>
  <si>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</si>
  <si>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</si>
  <si>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</si>
  <si>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</si>
  <si>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</si>
  <si>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</si>
  <si>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</si>
  <si>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</si>
  <si>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</si>
  <si>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</si>
  <si>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</si>
  <si>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</si>
  <si>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3020</t>
  </si>
  <si>
    <t>Wydatki osobowe niezaliczone do wynagrodzeń</t>
  </si>
  <si>
    <t>4040</t>
  </si>
  <si>
    <t>Dodatkowe wynagrodzenie roczne</t>
  </si>
  <si>
    <t>4700</t>
  </si>
  <si>
    <t xml:space="preserve">Szkolenia pracowników niebędących członkami korpusu służby cywilnej 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</si>
  <si>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</si>
  <si>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</si>
  <si>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</si>
  <si>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</si>
  <si>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</si>
  <si>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</si>
  <si>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</si>
  <si>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30 000,00</t>
  </si>
  <si>
    <t>4140</t>
  </si>
  <si>
    <t>Wpłaty na Państwowy Fundusz Rehabilitacji Osób Niepełnosprawnych</t>
  </si>
  <si>
    <t>4280</t>
  </si>
  <si>
    <t>4380</t>
  </si>
  <si>
    <t>Zakup usług obejmujacych tłumaczenia</t>
  </si>
  <si>
    <t>4390</t>
  </si>
  <si>
    <t>Zakup usług obejmujących wykonanie ekspertyz, analiz i opinii</t>
  </si>
  <si>
    <t>4410</t>
  </si>
  <si>
    <t>4440</t>
  </si>
  <si>
    <t>75053</t>
  </si>
  <si>
    <t>Wybory do rad gmin, rad powiatów i sejmików województw, wybory wójtów, burmistrzów i prezydentów miast  oraz referenda gminne, powiatowe i wojewódzkie</t>
  </si>
  <si>
    <t>75085</t>
  </si>
  <si>
    <t>Wspólna obsługa jednostek samorządu terytorialnego</t>
  </si>
  <si>
    <t>3 000,00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</si>
  <si>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</si>
  <si>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</si>
  <si>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</si>
  <si>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</si>
  <si>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</si>
  <si>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</si>
  <si>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</si>
  <si>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</si>
  <si>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</si>
  <si>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</si>
  <si>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</si>
  <si>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</si>
  <si>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75415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</si>
  <si>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</si>
  <si>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</si>
  <si>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</si>
  <si>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</si>
  <si>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</si>
  <si>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</si>
  <si>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</si>
  <si>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</si>
  <si>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2940</t>
  </si>
  <si>
    <t>Zwrot do budżetu państwa nienależnie pobranej subwencji ogólnej za lata poprzednie</t>
  </si>
  <si>
    <t>75818</t>
  </si>
  <si>
    <t>Rezerwy ogólne i celowe</t>
  </si>
  <si>
    <t>4810</t>
  </si>
  <si>
    <t>Rezerwy</t>
  </si>
  <si>
    <t>4240</t>
  </si>
  <si>
    <t>4330</t>
  </si>
  <si>
    <t>Zakup usług przez jednostki samorządu terytorialnego od innych jednostek samorządu terytorialnego</t>
  </si>
  <si>
    <t>4480</t>
  </si>
  <si>
    <t>Podatek od nieruchomości</t>
  </si>
  <si>
    <t>103,00</t>
  </si>
  <si>
    <t>2540</t>
  </si>
  <si>
    <t>4220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</si>
  <si>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</si>
  <si>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</si>
  <si>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</si>
  <si>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</si>
  <si>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</si>
  <si>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</si>
  <si>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</si>
  <si>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</si>
  <si>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</si>
  <si>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</si>
  <si>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</si>
  <si>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</si>
  <si>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</si>
  <si>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</si>
  <si>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26 500,00</t>
  </si>
  <si>
    <t>Dotacja celowa na pomoc finansową udzielaną między jednostkami samorządu terytorialnego na dofinansowanie własnych zadań bieżących</t>
  </si>
  <si>
    <t>3247</t>
  </si>
  <si>
    <t>3249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</si>
  <si>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</si>
  <si>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</si>
  <si>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</si>
  <si>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</si>
  <si>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</si>
  <si>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</si>
  <si>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</si>
  <si>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</si>
  <si>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</si>
  <si>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</si>
  <si>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</si>
  <si>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</si>
  <si>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Dotacje celowe z budżetu na finansowanie lub dofinansowanie kosztów realizacji inwestycji i zakupów inwestycyjnych innych jednostek sektora finansów publicznych</t>
  </si>
  <si>
    <t>85153</t>
  </si>
  <si>
    <t>2 240,00</t>
  </si>
  <si>
    <t>85154</t>
  </si>
  <si>
    <t>1 050,00</t>
  </si>
  <si>
    <t>950,00</t>
  </si>
  <si>
    <t>120 000,00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</si>
  <si>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</si>
  <si>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</si>
  <si>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</si>
  <si>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</si>
  <si>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</si>
  <si>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</si>
  <si>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</si>
  <si>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85232</t>
  </si>
  <si>
    <t>85295</t>
  </si>
  <si>
    <t>3117</t>
  </si>
  <si>
    <t>3119</t>
  </si>
  <si>
    <t>4137</t>
  </si>
  <si>
    <t>4177</t>
  </si>
  <si>
    <t>4287</t>
  </si>
  <si>
    <t>4417</t>
  </si>
  <si>
    <t>4419</t>
  </si>
  <si>
    <t>4437</t>
  </si>
  <si>
    <t>85401</t>
  </si>
  <si>
    <t>Świetlice szkolne</t>
  </si>
  <si>
    <t>3240</t>
  </si>
  <si>
    <t>3260</t>
  </si>
  <si>
    <t>Inne formy pomocy dla uczniów</t>
  </si>
  <si>
    <t>85416</t>
  </si>
  <si>
    <t>Pomoc materialna dla uczniów o charakterze motywacyjnym</t>
  </si>
  <si>
    <t>13 200,00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</si>
  <si>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</si>
  <si>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</si>
  <si>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</si>
  <si>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4 740,00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</si>
  <si>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</si>
  <si>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</si>
  <si>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</si>
  <si>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</si>
  <si>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</si>
  <si>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</si>
  <si>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</si>
  <si>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24,50</t>
  </si>
  <si>
    <t>92105</t>
  </si>
  <si>
    <t>2480</t>
  </si>
  <si>
    <t>92120</t>
  </si>
  <si>
    <t>100 000,00</t>
  </si>
  <si>
    <t>2720</t>
  </si>
  <si>
    <t>92127</t>
  </si>
  <si>
    <t>Działalność dotycząca miejsc pamięci narodowej oraz ochrony pamięci walk i męczeństwa</t>
  </si>
  <si>
    <t>Zmiany</t>
  </si>
  <si>
    <t>Zobowiązania niewymagalne</t>
  </si>
  <si>
    <t>Załącznik nr 2 do sprawozdania opisowego</t>
  </si>
  <si>
    <t>ZMIANY W PLANIE WYDATKÓW GMINY ROGOŹNO ORAZ WYKONANIE WYDATKÓW</t>
  </si>
  <si>
    <t>Wydatki funduszu sołeckiego</t>
  </si>
  <si>
    <t>ZMIANY W PLANIE DOCHODÓW GMINY ROGOŹNO ORAZ WYKONANIE DOCHODÓW</t>
  </si>
  <si>
    <t>ogółem</t>
  </si>
  <si>
    <t>w tym:
wymagalne</t>
  </si>
  <si>
    <t>nadpłaty</t>
  </si>
  <si>
    <t>Wpływy z podostalych odsetek</t>
  </si>
  <si>
    <t>020</t>
  </si>
  <si>
    <t>Leśnictwo</t>
  </si>
  <si>
    <t>02001</t>
  </si>
  <si>
    <t>Gospodarka leśna</t>
  </si>
  <si>
    <t>0870</t>
  </si>
  <si>
    <t>Wpływy z tytułu kosztów egzekucyjnych, opłaty komorniczej i kosztów upomnienia</t>
  </si>
  <si>
    <t>Wpłiwy z odsetek za nieterminoweych wpłat z tytułu podatków i opłat</t>
  </si>
  <si>
    <t>.0870</t>
  </si>
  <si>
    <t>Wpływy ze sprzedaży składników majątkowych</t>
  </si>
  <si>
    <t>0840</t>
  </si>
  <si>
    <t>Wpływy ze sprzedaży wyrobów</t>
  </si>
  <si>
    <t>Nadwyżka  środków z opłat i kar za korzystanie ze środkowiska:</t>
  </si>
  <si>
    <t xml:space="preserve">                                                        Załacznik Nr 12 do </t>
  </si>
  <si>
    <t>Należności wymagalne</t>
  </si>
  <si>
    <t>Nadpłaty</t>
  </si>
  <si>
    <t>Wpływy z innych lokalnych opłat pobiernaych przez jednostki samorządu terytorialnego na podstawie odrębnych ustaw</t>
  </si>
  <si>
    <t>Odsetki od nieterminowych wpłat z tytułu podatków i opłat</t>
  </si>
  <si>
    <t>% wykonania biorąc pod uwagę zobowiazania</t>
  </si>
  <si>
    <t>przesyłki pocztowe</t>
  </si>
  <si>
    <t>Przeglądy i konserwacje sprzętu</t>
  </si>
  <si>
    <t>aktualizacja  dwóch systemów oprogramowania (opieka autorska)</t>
  </si>
  <si>
    <t>dzierżawa pojemników</t>
  </si>
  <si>
    <t>Roma Król</t>
  </si>
  <si>
    <t>Paweł Ohradka</t>
  </si>
  <si>
    <t>Składki na ubezpieczenie społeczne</t>
  </si>
  <si>
    <t>Magdziarz Beata =30683,76+2546,91</t>
  </si>
  <si>
    <t>Grabowska =28084,80+2518,72</t>
  </si>
  <si>
    <t>Rutkowska Zenona =29790+2450+2450,55</t>
  </si>
  <si>
    <t xml:space="preserve">straż miesjka - </t>
  </si>
  <si>
    <t>Straż Miejska</t>
  </si>
  <si>
    <t xml:space="preserve">w tym: </t>
  </si>
  <si>
    <t xml:space="preserve">za 2013 rok - (+) </t>
  </si>
  <si>
    <t xml:space="preserve">za 2014 rok - (+) </t>
  </si>
  <si>
    <t xml:space="preserve">
wymagalne</t>
  </si>
  <si>
    <t>dodatkowy odbiór odpadów</t>
  </si>
  <si>
    <t>obsługa systemu - odbiór odpadów - umowa INTZ.272.5.2017</t>
  </si>
  <si>
    <t>Zobowiązania ogółem:</t>
  </si>
  <si>
    <t xml:space="preserve">Magdziarz Beata </t>
  </si>
  <si>
    <t xml:space="preserve">Grabowska Paulina </t>
  </si>
  <si>
    <t>Rutkowska Zenona 3/4 etatu</t>
  </si>
  <si>
    <t>Grabowska Paulina</t>
  </si>
  <si>
    <t xml:space="preserve">Rutkowska Zenona 3/4 etatu </t>
  </si>
  <si>
    <t xml:space="preserve">Grabowska </t>
  </si>
  <si>
    <t xml:space="preserve">Rutkowska Zenona </t>
  </si>
  <si>
    <t>za 2015 rok</t>
  </si>
  <si>
    <t xml:space="preserve">za 2017 rok </t>
  </si>
  <si>
    <t>za 2016 rok</t>
  </si>
  <si>
    <t xml:space="preserve"> (+)</t>
  </si>
  <si>
    <t xml:space="preserve"> (-) </t>
  </si>
  <si>
    <t xml:space="preserve"> (-)</t>
  </si>
  <si>
    <t>za 2018 rok</t>
  </si>
  <si>
    <t>Nadwyżka za okres od 1 lipca 2013 roku do dnia 31-12-2018 roku z rozliczenia systemu gospodarowania odpadami komunalnymi wyniosła narastająco 365.864,39 zł uwzględniając wykonane dochody i wydatki,</t>
  </si>
  <si>
    <t>Nadwyżka narastająco:</t>
  </si>
  <si>
    <t>selektywne deklaracje - 11 zł - miesięcznie</t>
  </si>
  <si>
    <t>nieselektywne deklaracje - 20 zl miesięcznie</t>
  </si>
  <si>
    <t>nieruchomości letniskowe selektywny odbiór -220 zł rocznie</t>
  </si>
  <si>
    <t>nieruchomości letniskowe nieselektywny odbiór -360 zł rocznie</t>
  </si>
  <si>
    <t>Załącznik nr 13 do sprawozdania opisowego</t>
  </si>
  <si>
    <t>PLANOWANO DOCHODY wg n/w stawek</t>
  </si>
  <si>
    <t>0580</t>
  </si>
  <si>
    <t>Wpływy z tytułu grzywien i innych kar pienięznych od osób prawnych i innych jednostek organizacyjnych</t>
  </si>
  <si>
    <t>0620</t>
  </si>
  <si>
    <t>Wpływy z opłat za zezwolenia, akredytacje oraz opłaty ewidencyjne, w tym opłaty za częstotliwości</t>
  </si>
  <si>
    <t>Załącznik nr 1 do sprwozdania opisowego</t>
  </si>
  <si>
    <t>Wydatki bieżące</t>
  </si>
  <si>
    <t>1)</t>
  </si>
  <si>
    <t>wydatki jednostek budżetowych</t>
  </si>
  <si>
    <t>2)</t>
  </si>
  <si>
    <t>dotacje na zadania bieżace</t>
  </si>
  <si>
    <t>3)</t>
  </si>
  <si>
    <t>świadczenia na rzecz osób fizycznych</t>
  </si>
  <si>
    <t>4)</t>
  </si>
  <si>
    <t>obsługa długu - odsetki od kredytów i pożyczek</t>
  </si>
  <si>
    <t>5)</t>
  </si>
  <si>
    <t>wydatki na programy finansowane z udziałem środków, o których mowa w art. 5 ust.1 pkt 2 i 3 ustawy</t>
  </si>
  <si>
    <t>Wydatki majątkowe</t>
  </si>
  <si>
    <t>dotacje przekazane z budżetu na zadania majątkowe</t>
  </si>
  <si>
    <t>Dochody bieżące</t>
  </si>
  <si>
    <t>udziały w podatku dochodowym od osób fizycznych</t>
  </si>
  <si>
    <t>udziały w podatku dochodowym od osób prawnych</t>
  </si>
  <si>
    <t>podatki i opłaty</t>
  </si>
  <si>
    <t>subwencja ogólna</t>
  </si>
  <si>
    <t>dotacje i środki na cele bieżące</t>
  </si>
  <si>
    <t>a) dotacje na programy finansowe z udziałem środków, o których mowa w art.. 5 ust.1 pkt 2 i 3 w części związanej z realizacją zadań bieżących gminy</t>
  </si>
  <si>
    <t xml:space="preserve">6) </t>
  </si>
  <si>
    <t>pozostałe  dochody</t>
  </si>
  <si>
    <t>ze sprzedaży majątku</t>
  </si>
  <si>
    <t>wpływy z przekształcenia prawa użytkowania wieczystego przysługujęcego osobom fizycznym w prawo własności</t>
  </si>
  <si>
    <t>a) dotacje na programy finansowe z udziałem środków, o których mowa w art.. 5 ust.1 pkt 2 i 3 w części związanej z realizacją zadań majątkowych gminy</t>
  </si>
  <si>
    <t xml:space="preserve">     a) wynagrodzenia i składki od nich naliczone</t>
  </si>
  <si>
    <t xml:space="preserve">     b) wydatki związane z realizacją statutowych 
        zadań</t>
  </si>
  <si>
    <t>Dochody majątkowe</t>
  </si>
  <si>
    <t>pozostałe wydatki inwestycyjne</t>
  </si>
  <si>
    <t>wydatki na zakupy inwestycyjne</t>
  </si>
  <si>
    <t xml:space="preserve">     c) dotacje na zadania bieżące</t>
  </si>
  <si>
    <t xml:space="preserve">     d) świadczenia na rzecz osób fizycznych</t>
  </si>
  <si>
    <t xml:space="preserve">przygotowanie terenu pod pojemniki w Nienawiszczu i wymiana  pojemnków w punkcie zbiorczym Pruśce-Stare-Nienawiszcz  </t>
  </si>
  <si>
    <t>RAZEM PLAN: Dział 700 Rozdział 70001</t>
  </si>
  <si>
    <t>RAZEM WYKONANIE: 
Dział 700 Rozdział 70001</t>
  </si>
  <si>
    <t>RAZEM PLAN: Dział 852 Rozdział 85232</t>
  </si>
  <si>
    <t>RAZEM WYKONANIE:
 Dział 852 Rozdział 85232</t>
  </si>
  <si>
    <t>OGÓŁEM PLAN:</t>
  </si>
  <si>
    <t>OGÓŁEM WYKONANIE:</t>
  </si>
  <si>
    <t>% WYKONANIA</t>
  </si>
  <si>
    <t>1</t>
  </si>
  <si>
    <t>6690</t>
  </si>
  <si>
    <t>Wpływy ze zwrotów dotacjji oraz płatności, dotyczące dochodów majątkowych</t>
  </si>
  <si>
    <t>Załącznik nr 3 do sprawozdania opisowego</t>
  </si>
  <si>
    <t xml:space="preserve">Załącznik nr 7 do sprawozdania opisowego </t>
  </si>
  <si>
    <t xml:space="preserve">Załącznik nr 8 do sprawozdania opisowego </t>
  </si>
  <si>
    <t>Załącznik nr 9 do sprawozdania opisowego</t>
  </si>
  <si>
    <t>za okres od początku roku do dnia 31 grudnia 2019 roku</t>
  </si>
  <si>
    <t>Plan na dzień: 01.01.019r.</t>
  </si>
  <si>
    <t>Plan na dzień: 31.12.2019r.</t>
  </si>
  <si>
    <t>Dochody wykonane 
na dzień: 31.12.2019r.</t>
  </si>
  <si>
    <t>Środki na dofinansowanie wlasnych zadań bieżących gmin, powiatów (związków gmin, związków powiatowo-gminnych, związków powiatów), samorządów województw, pozyskane z innych źródeł</t>
  </si>
  <si>
    <t>0950</t>
  </si>
  <si>
    <t>Wpływy z tytułu kar i odszkodowań wynikających z umów</t>
  </si>
  <si>
    <t>.0950</t>
  </si>
  <si>
    <t>75108</t>
  </si>
  <si>
    <t>75113</t>
  </si>
  <si>
    <t>Wybory do Parlamentu Europejskiego</t>
  </si>
  <si>
    <t>0960</t>
  </si>
  <si>
    <t>Wpływy otrzymanych spadków, zapisów i darowizn w postaci pieniężnej</t>
  </si>
  <si>
    <t>Wpływy z podatku od dzialalnosci gospodarczej osób fizycznych, opłacanego w formie karty podatkowej</t>
  </si>
  <si>
    <t>Dotacje celowe otrzymane z budżetu państwa na  inwestycje i zakupy inwestycyjne realizowane przez gminę na podstawie porozumień z organami administracji rządowej</t>
  </si>
  <si>
    <t>2957</t>
  </si>
  <si>
    <t>Wpływy ze zwrotów niewykorzystanych dotacji oraz płatności</t>
  </si>
  <si>
    <t>2959</t>
  </si>
  <si>
    <t>85513</t>
  </si>
  <si>
    <t>Wpływy z tytułu grzywien mandatów i innych kar pieniężnych od osób fizycznych</t>
  </si>
  <si>
    <t>90026</t>
  </si>
  <si>
    <t>Pozostała  działalność zwiazana z gospodarką odpadami</t>
  </si>
  <si>
    <t>6259</t>
  </si>
  <si>
    <t>Plan na dzień 31.12.2019r.</t>
  </si>
  <si>
    <t>Wykonanie wydatków
na dzień:
31.12.2019r.</t>
  </si>
  <si>
    <t>wydatki, które nie wygasają 
z upływem roku 2019</t>
  </si>
  <si>
    <t>01010</t>
  </si>
  <si>
    <t>Infrastruktura wodociągowa i sanitacyjna wsi</t>
  </si>
  <si>
    <t>6010</t>
  </si>
  <si>
    <t>Wydatki na zakup i objęcie akcji i udziałów</t>
  </si>
  <si>
    <t>Zakup usług objętych wykonaniem ekspertyz, analiz i opinii</t>
  </si>
  <si>
    <t>4580</t>
  </si>
  <si>
    <t>Pozostałe odsetki</t>
  </si>
  <si>
    <t>Wybory do Sejmu i Senatu</t>
  </si>
  <si>
    <t>Składki na Fundusz Pracy oraz Solidarnosciowy Fundusz Wsparcia Osób Niepełnosprawnych</t>
  </si>
  <si>
    <t>Zakup usug remontowych</t>
  </si>
  <si>
    <t>4530</t>
  </si>
  <si>
    <t xml:space="preserve">  NADWYŻKI BUDŻETOWEJ W 2019 ROKU</t>
  </si>
  <si>
    <t>PLAN 2019 roku</t>
  </si>
  <si>
    <t>Wykonanie 2019 roku</t>
  </si>
  <si>
    <t>WYKAZ PLANOWANYCH I WYKONANYCH WYDATKÓW MAJĄTKOWYCH GMINY UJĘTYCH W PLANIE BUDŻETU W 2019 ROKU</t>
  </si>
  <si>
    <t>Planowane środki finansowe
 na  dzień: 31.12.2019 r.</t>
  </si>
  <si>
    <t>Wykonanie 
na dzień: 31.12.2019r.</t>
  </si>
  <si>
    <t>wydatki, które nie wygasają z upływem 2019 roku</t>
  </si>
  <si>
    <t xml:space="preserve">Plan  i wykonanie dochodów, dotacji i wydatków związanych z realizacją zadań  z zakresu administracji rządowej i innych zadań zleconych gminie ustawami w 2019 roku </t>
  </si>
  <si>
    <t xml:space="preserve"> między jednostkami samorządu terytorialnego i  organami administracji rządowej w 2019 roku
</t>
  </si>
  <si>
    <t>Plan i wykonanie dochodów i wydatków związanych z realizacją zadań własnych w 2019 roku</t>
  </si>
  <si>
    <t>ZESTAWIENIE PLANOWANYCH I WYKONANYCH KWOT DOTACJI W 2019 ROKU</t>
  </si>
  <si>
    <t>PLAN I WYKONANIE PRZYCHODÓW I KOSZTÓW ZAKŁADU BUDŻETOWEGO GMINY ROGOŹNO W 2019 ROKU</t>
  </si>
  <si>
    <t>Plan i wykonanie dochodów i wydatków z opłat i kar za korzystanie
 ze środowiska w  2019 roku</t>
  </si>
  <si>
    <t>W 2019 ROKU</t>
  </si>
  <si>
    <t>Plan po zmianie na 31.12.2019r.</t>
  </si>
  <si>
    <t>Plan na dzień 01.01.2019r.</t>
  </si>
  <si>
    <t>Planowane i wykonane dochody i wydatki  z tytułu opłat za gospodarowanie 
odpadami komunalnymi w 2019 roku</t>
  </si>
  <si>
    <t>Plan  2019 roku</t>
  </si>
  <si>
    <t>Plan 2019</t>
  </si>
  <si>
    <t>Wykonanie dochodów 
na dzień: 31.12.2019r.</t>
  </si>
  <si>
    <t>Wykonanie wydatkow
 na dzień: 31.12.2019r.</t>
  </si>
  <si>
    <t>Przychody ze sprzedaży innych papierów wartościowych</t>
  </si>
  <si>
    <t>Wykonanie 
na dzień:
 31.12.2019r.</t>
  </si>
  <si>
    <t>Plan na 31.12.2019 r.</t>
  </si>
  <si>
    <t>Plan  na 31.12.2019r.</t>
  </si>
  <si>
    <t>Wniesienie wkładu pieniężnego do spółki prawa handlowego AQUABELLIS sp. z o.o. w Rogoźnie</t>
  </si>
  <si>
    <t>Modernizacja terenu przy boisku sportowym - budowa kompleksu rekreacyjno-sportowego w Garbatce</t>
  </si>
  <si>
    <t>Budowa drogi gminnej nr 272522P w Dzieczej Strudze - etap II</t>
  </si>
  <si>
    <t>Budowa ulicy Długiej i Seminarialnej w Rogoźnie</t>
  </si>
  <si>
    <t>Przebudowa chodnika przy drodze nr 272514P w Gościejewie od drogi krajowej nr 11 do drogi 273520P</t>
  </si>
  <si>
    <t>Przebudowa chodników na terenie miasta</t>
  </si>
  <si>
    <t>Przebudowa obiektów mostowych na rzece Rudka</t>
  </si>
  <si>
    <t>Wykonanie dokumentacji budowy chodnika przy drodze nr 273520P od drogi nr 272514P do Sali wiejskiej w Gościejewie</t>
  </si>
  <si>
    <t>Wykonanie dokumentacji budowy drogi nr 272538P w Garbatce na odcinku ok. 1600 mb.od drogi nr 2027P</t>
  </si>
  <si>
    <t>Wykonanie dokumentacji drogi ul. Żurawiej w Rogoźnie</t>
  </si>
  <si>
    <t>Wykonanie progu zwalniającego na ul. Mickiewicza w Rogoźnie</t>
  </si>
  <si>
    <t>Zakup i montaż progu zwalniającego na ul. Seminarialnej w Rogoźnie</t>
  </si>
  <si>
    <t>Zakup gruntów</t>
  </si>
  <si>
    <t>Zakup nieruchomości od SM w Obornikach</t>
  </si>
  <si>
    <t>Zakup wraz z montażem platformy hydraulicznej dla osób niepełnosprawnych typDHP do Urzędu Miejskiego</t>
  </si>
  <si>
    <t>Wyłożenie kostką pozbruk wjazdu na płytę OSP</t>
  </si>
  <si>
    <t xml:space="preserve">Dofinansowanie zakupu rozpieraka kolumnowego dla OSP Gościejewo </t>
  </si>
  <si>
    <t>Zakup skutera ratowniczego z możliwością holowania platformy ratowniczej oraz przyczepą podłodziową</t>
  </si>
  <si>
    <t xml:space="preserve">Wykonanie klimatyzacji w serwerowni i pracowniach komputerowych </t>
  </si>
  <si>
    <t>Wykoanie ogrodzenia boiska sportowego wraz z monitoringiem</t>
  </si>
  <si>
    <t>Zakup klimatyzacji</t>
  </si>
  <si>
    <t>Dofinansowanie do zakupu sprzętu specjalistycznego dla SP ZOZ w Obornikach</t>
  </si>
  <si>
    <t>Rozbudowa Sali rehabilitacyjnej i stołówki w Środowiskowym Domu Samopomocy w Rogoźnie</t>
  </si>
  <si>
    <t>Odpłatne przejęcie sieci kanalizacji deszczowej w Rogoźnie - ul. Kościuszki i ul. Paderewskiego</t>
  </si>
  <si>
    <t>Dofinansowanie wymiany źródła ciepła w budynkach i lokalach mieszkalnych zlokalizowanych na terenie gminy Rogoźno</t>
  </si>
  <si>
    <t>43</t>
  </si>
  <si>
    <t>Kablowanie sieci energetycznej oświetlenia wraz z wymianą słupów i opraw oświetleniowych na ul. Gościnnej w Rogoxnie</t>
  </si>
  <si>
    <t>Oświetlenie terenu przy świetlicy wiejskiej w Studziencu poprzez zakup i montaż słupa energetycznego wraz z dwoma punktami świetlnymi</t>
  </si>
  <si>
    <t>Dofinansowanie do modernizacji infrastruktury Rodzinnych Ogrodów Działkowych im. K. Marcinkowskiego w Rogoźnie</t>
  </si>
  <si>
    <t>Dofinansowanie modernizacji sieci wodociągowej Rodzinnych Ogrodów Działkowych "Czerwony Mak" w Rogoźnie</t>
  </si>
  <si>
    <t>Przebudowa placu przy Sali wiejskiej w Studzieńcu poprzez położenie kostki brukowej</t>
  </si>
  <si>
    <t>Wykonanie sanitariatw w swietlicy wiejskiej w Nienawiszczu</t>
  </si>
  <si>
    <t>Budowa otwartej strefy aktywności (wariant rozszerzony) przy ul. Nowej w Rogoźnie</t>
  </si>
  <si>
    <t>Budowa wiaty biesiadnej wraz z budynkiem przyległym na boisku sportowym - stap III</t>
  </si>
  <si>
    <t>Zakup i montaż trzech piłkochwytów na boisku w Karolewie i Gosciejewie</t>
  </si>
  <si>
    <t>Budowa architektury sportowej - zagospodarowanie terenu plaży przy ul. Za Jeziorem</t>
  </si>
  <si>
    <t>Budowa małej architektury w parku Niepodległości</t>
  </si>
  <si>
    <t>Budowa miasteczka ruchu drogowego</t>
  </si>
  <si>
    <t>Budowa oświetlenia na ul. Południowej w Rogoźnie</t>
  </si>
  <si>
    <t>Budowa otwartej strefy aktywności wariant podstawowy przy ul. Nowej w Rogoźnie</t>
  </si>
  <si>
    <t>Różne wydatki na rzecz osób fizycznych</t>
  </si>
  <si>
    <t>Składki na Fundusz Pracy oraz Solidarnościowy Fundusz Wsparcia Osób Niepełnosprawnych</t>
  </si>
  <si>
    <t>Zakup usług obejmujących wykonanie ekspertyz, analiz i opini</t>
  </si>
  <si>
    <t>Składki na ubezpieczenie zdrowotne opłacane za osoby pobierające niektóre świadczenia z pomocy społecznej, niektóre świadczenia rodzinne, zgodnie z przepisami ustawy o świadczeniach rodzinnych oraz za osoby pobierające zasiłki dla opiekunów zgodnie z przepisami ustawy z dnia 4 kwietnia 2014 r. o ustaleniu i wypłacie zasiłków dla opiekunów</t>
  </si>
  <si>
    <t xml:space="preserve">Składki na ubezpieczenie zdrowotne </t>
  </si>
  <si>
    <t>zakup i objęcie akcji i udziałów</t>
  </si>
  <si>
    <t>za 2019 rok</t>
  </si>
  <si>
    <t>Pozostałe działania związane z gospodarką odpadami</t>
  </si>
  <si>
    <t>Dotacje celowe przekazane do powiatu na zadania bieżące realizowane na podstawie porozumień (umów) między jednostkami samorządu terytorialnego</t>
  </si>
  <si>
    <t>Nadwyżka z lat poprzednich wg stanu na dzień:  31.12.2018 roku</t>
  </si>
  <si>
    <t>Rozliczenie dochodów i wydatków wg stanu na dzień 31.12.2019r.</t>
  </si>
  <si>
    <t>Wykonanie na dzień 31.12.2019 r.</t>
  </si>
  <si>
    <t>dotacje i środki na inwestycje</t>
  </si>
  <si>
    <t>Plan po zmianie na 31.12.2018r.</t>
  </si>
  <si>
    <t>Plan 
po zmianie
na: 31.12.2019r.</t>
  </si>
  <si>
    <t>Plan 
po zmianie
 na: 31.12.2019r.</t>
  </si>
  <si>
    <t>Plan po zmianie na 31.12.2019 r.r.</t>
  </si>
  <si>
    <t>Wpływy z rtytułu grzywien mandatów i innych kar pieniężnych od osób fizycznych</t>
  </si>
  <si>
    <t>Środki otrzymane od pozostałych jednostek zaliczanych do sektora finansów publicznych na realizację zadań bieżących jednostek zaliczanych do sektora finansów publicznych</t>
  </si>
  <si>
    <t>Pozostała dzialalność</t>
  </si>
  <si>
    <t>Zakup i montaż bramy wjazdowej, furtki oraz ogrodzenia przed salą wiejską w Studzieńcu</t>
  </si>
  <si>
    <t>Dotacja celowa otrzymana z budżetu państwa na inwestycje i zakupy inwestycyjne realizowane przez gminę na podstawie porozumień z organami administracji rządowej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</si>
</sst>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???"/>
    <numFmt numFmtId="166" formatCode="?????"/>
    <numFmt numFmtId="167" formatCode="????"/>
    <numFmt numFmtId="168" formatCode="_-* #,##0.00\ _z_ł_-;\-* #,##0.00\ _z_ł_-;_-* \-??\ _z_ł_-;_-@_-"/>
    <numFmt numFmtId="169" formatCode="0000"/>
    <numFmt numFmtId="170" formatCode="?"/>
    <numFmt numFmtId="171" formatCode="#,##0.00\ [$zł-415];[Red]\-#,##0.00\ [$zł-415]"/>
    <numFmt numFmtId="172" formatCode="#,##0.00\ &quot;zł&quot;"/>
    <numFmt numFmtId="173" formatCode="#,##0.0"/>
  </numFmts>
  <fonts count="1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.5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sz val="8.25"/>
      <color indexed="8"/>
      <name val="Arial"/>
      <family val="2"/>
    </font>
    <font>
      <sz val="8.5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i/>
      <sz val="11"/>
      <name val="Arial CE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12"/>
      <name val="Arial CE"/>
      <family val="0"/>
    </font>
    <font>
      <sz val="7"/>
      <name val="Arial"/>
      <family val="2"/>
    </font>
    <font>
      <b/>
      <sz val="6"/>
      <name val="Arial"/>
      <family val="2"/>
    </font>
    <font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sz val="9.5"/>
      <color indexed="8"/>
      <name val="Arial"/>
      <family val="2"/>
    </font>
    <font>
      <b/>
      <i/>
      <sz val="8"/>
      <color indexed="8"/>
      <name val="Arial"/>
      <family val="2"/>
    </font>
    <font>
      <i/>
      <sz val="7.5"/>
      <color indexed="8"/>
      <name val="Arial"/>
      <family val="2"/>
    </font>
    <font>
      <i/>
      <sz val="8"/>
      <color indexed="8"/>
      <name val="Arial"/>
      <family val="2"/>
    </font>
    <font>
      <i/>
      <sz val="8.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  <font>
      <i/>
      <sz val="8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i/>
      <sz val="8.5"/>
      <color indexed="17"/>
      <name val="Arial"/>
      <family val="2"/>
    </font>
    <font>
      <b/>
      <sz val="8.5"/>
      <color indexed="30"/>
      <name val="Arial"/>
      <family val="2"/>
    </font>
    <font>
      <sz val="8.5"/>
      <color indexed="10"/>
      <name val="Arial"/>
      <family val="2"/>
    </font>
    <font>
      <i/>
      <sz val="7.5"/>
      <color indexed="17"/>
      <name val="Arial"/>
      <family val="2"/>
    </font>
    <font>
      <b/>
      <sz val="8.5"/>
      <color indexed="17"/>
      <name val="Arial"/>
      <family val="2"/>
    </font>
    <font>
      <b/>
      <sz val="8"/>
      <color indexed="17"/>
      <name val="Arial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Arial CE"/>
      <family val="2"/>
    </font>
    <font>
      <b/>
      <sz val="9"/>
      <color rgb="FFFF0000"/>
      <name val="Arial CE"/>
      <family val="0"/>
    </font>
    <font>
      <b/>
      <sz val="9"/>
      <color rgb="FFFF0000"/>
      <name val="Arial"/>
      <family val="2"/>
    </font>
    <font>
      <i/>
      <sz val="8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sz val="8"/>
      <color rgb="FFFF0000"/>
      <name val="Arial"/>
      <family val="2"/>
    </font>
    <font>
      <b/>
      <i/>
      <sz val="8"/>
      <color rgb="FF00B050"/>
      <name val="Arial"/>
      <family val="2"/>
    </font>
    <font>
      <b/>
      <i/>
      <sz val="8.5"/>
      <color rgb="FF00B050"/>
      <name val="Arial"/>
      <family val="2"/>
    </font>
    <font>
      <b/>
      <sz val="8.5"/>
      <color rgb="FF0070C0"/>
      <name val="Arial"/>
      <family val="2"/>
    </font>
    <font>
      <sz val="8.5"/>
      <color rgb="FFFF0000"/>
      <name val="Arial"/>
      <family val="2"/>
    </font>
    <font>
      <i/>
      <sz val="7.5"/>
      <color rgb="FF00B050"/>
      <name val="Arial"/>
      <family val="2"/>
    </font>
    <font>
      <b/>
      <sz val="8.5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medium"/>
      <top style="hair"/>
      <bottom style="hair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hair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>
        <color indexed="63"/>
      </bottom>
    </border>
    <border>
      <left/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/>
    </border>
    <border>
      <left style="thin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0" fontId="11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4" fillId="0" borderId="0" applyFill="0" applyBorder="0" applyAlignment="0" applyProtection="0"/>
    <xf numFmtId="0" fontId="15" fillId="0" borderId="0">
      <alignment/>
      <protection/>
    </xf>
    <xf numFmtId="0" fontId="118" fillId="0" borderId="3" applyNumberFormat="0" applyFill="0" applyAlignment="0" applyProtection="0"/>
    <xf numFmtId="0" fontId="119" fillId="30" borderId="4" applyNumberFormat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4" fillId="28" borderId="1" applyNumberFormat="0" applyAlignment="0" applyProtection="0"/>
    <xf numFmtId="9" fontId="0" fillId="0" borderId="0" applyFont="0" applyFill="0" applyBorder="0" applyAlignment="0" applyProtection="0"/>
    <xf numFmtId="0" fontId="125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9" fillId="33" borderId="0" applyNumberFormat="0" applyBorder="0" applyAlignment="0" applyProtection="0"/>
  </cellStyleXfs>
  <cellXfs count="1939">
    <xf numFmtId="0" fontId="0" fillId="0" borderId="0" xfId="0" applyFont="1" applyAlignment="1">
      <alignment/>
    </xf>
    <xf numFmtId="0" fontId="2" fillId="0" borderId="0" xfId="97">
      <alignment/>
      <protection/>
    </xf>
    <xf numFmtId="0" fontId="3" fillId="0" borderId="0" xfId="98" applyFont="1">
      <alignment/>
      <protection/>
    </xf>
    <xf numFmtId="0" fontId="4" fillId="0" borderId="0" xfId="97" applyFont="1">
      <alignment/>
      <protection/>
    </xf>
    <xf numFmtId="0" fontId="5" fillId="0" borderId="0" xfId="75" applyAlignment="1">
      <alignment/>
    </xf>
    <xf numFmtId="0" fontId="6" fillId="0" borderId="0" xfId="98" applyFont="1" applyAlignment="1">
      <alignment vertical="top" wrapText="1"/>
      <protection/>
    </xf>
    <xf numFmtId="43" fontId="8" fillId="0" borderId="10" xfId="97" applyNumberFormat="1" applyFont="1" applyFill="1" applyBorder="1" applyAlignment="1">
      <alignment horizontal="center" vertical="center" wrapText="1"/>
      <protection/>
    </xf>
    <xf numFmtId="0" fontId="8" fillId="34" borderId="11" xfId="97" applyFont="1" applyFill="1" applyBorder="1" applyAlignment="1" quotePrefix="1">
      <alignment horizontal="center" vertical="top" wrapText="1"/>
      <protection/>
    </xf>
    <xf numFmtId="0" fontId="9" fillId="34" borderId="12" xfId="97" applyFont="1" applyFill="1" applyBorder="1" applyAlignment="1">
      <alignment horizontal="center" vertical="top" wrapText="1"/>
      <protection/>
    </xf>
    <xf numFmtId="4" fontId="8" fillId="34" borderId="13" xfId="97" applyNumberFormat="1" applyFont="1" applyFill="1" applyBorder="1" applyAlignment="1">
      <alignment horizontal="right" vertical="top" wrapText="1"/>
      <protection/>
    </xf>
    <xf numFmtId="0" fontId="9" fillId="0" borderId="14" xfId="97" applyFont="1" applyBorder="1" applyAlignment="1">
      <alignment horizontal="center" vertical="top" wrapText="1"/>
      <protection/>
    </xf>
    <xf numFmtId="0" fontId="10" fillId="35" borderId="13" xfId="97" applyFont="1" applyFill="1" applyBorder="1" applyAlignment="1" quotePrefix="1">
      <alignment horizontal="center" vertical="top" wrapText="1"/>
      <protection/>
    </xf>
    <xf numFmtId="0" fontId="9" fillId="35" borderId="13" xfId="97" applyFont="1" applyFill="1" applyBorder="1" applyAlignment="1">
      <alignment horizontal="center" vertical="top" wrapText="1"/>
      <protection/>
    </xf>
    <xf numFmtId="0" fontId="10" fillId="35" borderId="13" xfId="97" applyFont="1" applyFill="1" applyBorder="1" applyAlignment="1">
      <alignment vertical="top" wrapText="1"/>
      <protection/>
    </xf>
    <xf numFmtId="0" fontId="9" fillId="0" borderId="15" xfId="97" applyFont="1" applyBorder="1" applyAlignment="1">
      <alignment horizontal="center" vertical="top" wrapText="1"/>
      <protection/>
    </xf>
    <xf numFmtId="0" fontId="11" fillId="0" borderId="13" xfId="97" applyFont="1" applyBorder="1" applyAlignment="1">
      <alignment horizontal="center" vertical="top" wrapText="1"/>
      <protection/>
    </xf>
    <xf numFmtId="0" fontId="2" fillId="0" borderId="11" xfId="97" applyBorder="1">
      <alignment/>
      <protection/>
    </xf>
    <xf numFmtId="4" fontId="11" fillId="0" borderId="16" xfId="97" applyNumberFormat="1" applyFont="1" applyBorder="1" applyAlignment="1">
      <alignment horizontal="right" vertical="top" wrapText="1"/>
      <protection/>
    </xf>
    <xf numFmtId="4" fontId="10" fillId="0" borderId="11" xfId="97" applyNumberFormat="1" applyFont="1" applyBorder="1" applyAlignment="1">
      <alignment vertical="top"/>
      <protection/>
    </xf>
    <xf numFmtId="4" fontId="11" fillId="0" borderId="11" xfId="97" applyNumberFormat="1" applyFont="1" applyBorder="1" applyAlignment="1">
      <alignment vertical="top"/>
      <protection/>
    </xf>
    <xf numFmtId="0" fontId="9" fillId="0" borderId="16" xfId="97" applyFont="1" applyBorder="1" applyAlignment="1">
      <alignment horizontal="center" vertical="top" wrapText="1"/>
      <protection/>
    </xf>
    <xf numFmtId="0" fontId="8" fillId="34" borderId="11" xfId="97" applyFont="1" applyFill="1" applyBorder="1" applyAlignment="1">
      <alignment horizontal="center" vertical="top" wrapText="1"/>
      <protection/>
    </xf>
    <xf numFmtId="0" fontId="10" fillId="35" borderId="13" xfId="97" applyFont="1" applyFill="1" applyBorder="1" applyAlignment="1">
      <alignment horizontal="center" vertical="top" wrapText="1"/>
      <protection/>
    </xf>
    <xf numFmtId="0" fontId="8" fillId="36" borderId="11" xfId="97" applyFont="1" applyFill="1" applyBorder="1" applyAlignment="1">
      <alignment horizontal="center" vertical="top" wrapText="1"/>
      <protection/>
    </xf>
    <xf numFmtId="0" fontId="11" fillId="0" borderId="16" xfId="97" applyFont="1" applyBorder="1" applyAlignment="1">
      <alignment horizontal="center" vertical="top" wrapText="1"/>
      <protection/>
    </xf>
    <xf numFmtId="4" fontId="11" fillId="0" borderId="14" xfId="97" applyNumberFormat="1" applyFont="1" applyBorder="1" applyAlignment="1">
      <alignment vertical="top"/>
      <protection/>
    </xf>
    <xf numFmtId="0" fontId="10" fillId="35" borderId="11" xfId="97" applyFont="1" applyFill="1" applyBorder="1" applyAlignment="1">
      <alignment horizontal="center" vertical="top" wrapText="1"/>
      <protection/>
    </xf>
    <xf numFmtId="0" fontId="9" fillId="35" borderId="12" xfId="97" applyFont="1" applyFill="1" applyBorder="1" applyAlignment="1">
      <alignment horizontal="center" vertical="top" wrapText="1"/>
      <protection/>
    </xf>
    <xf numFmtId="4" fontId="10" fillId="35" borderId="12" xfId="97" applyNumberFormat="1" applyFont="1" applyFill="1" applyBorder="1" applyAlignment="1">
      <alignment horizontal="right" vertical="top" wrapText="1"/>
      <protection/>
    </xf>
    <xf numFmtId="4" fontId="10" fillId="0" borderId="16" xfId="97" applyNumberFormat="1" applyFont="1" applyBorder="1" applyAlignment="1">
      <alignment horizontal="right" vertical="top" wrapText="1"/>
      <protection/>
    </xf>
    <xf numFmtId="4" fontId="12" fillId="36" borderId="11" xfId="97" applyNumberFormat="1" applyFont="1" applyFill="1" applyBorder="1" applyAlignment="1">
      <alignment horizontal="right" vertical="top" wrapText="1"/>
      <protection/>
    </xf>
    <xf numFmtId="0" fontId="9" fillId="34" borderId="13" xfId="97" applyFont="1" applyFill="1" applyBorder="1" applyAlignment="1">
      <alignment horizontal="center" vertical="top" wrapText="1"/>
      <protection/>
    </xf>
    <xf numFmtId="4" fontId="13" fillId="0" borderId="11" xfId="97" applyNumberFormat="1" applyFont="1" applyBorder="1" applyAlignment="1">
      <alignment vertical="top"/>
      <protection/>
    </xf>
    <xf numFmtId="4" fontId="11" fillId="0" borderId="11" xfId="97" applyNumberFormat="1" applyFont="1" applyBorder="1" applyAlignment="1">
      <alignment horizontal="right" vertical="top" wrapText="1"/>
      <protection/>
    </xf>
    <xf numFmtId="4" fontId="11" fillId="0" borderId="12" xfId="97" applyNumberFormat="1" applyFont="1" applyBorder="1" applyAlignment="1">
      <alignment horizontal="right" vertical="top" wrapText="1"/>
      <protection/>
    </xf>
    <xf numFmtId="0" fontId="9" fillId="0" borderId="17" xfId="97" applyFont="1" applyBorder="1" applyAlignment="1">
      <alignment horizontal="center" vertical="top" wrapText="1"/>
      <protection/>
    </xf>
    <xf numFmtId="4" fontId="11" fillId="35" borderId="11" xfId="97" applyNumberFormat="1" applyFont="1" applyFill="1" applyBorder="1" applyAlignment="1">
      <alignment horizontal="right" vertical="top" wrapText="1"/>
      <protection/>
    </xf>
    <xf numFmtId="0" fontId="11" fillId="0" borderId="11" xfId="97" applyFont="1" applyBorder="1" applyAlignment="1">
      <alignment horizontal="center" vertical="top" wrapText="1"/>
      <protection/>
    </xf>
    <xf numFmtId="0" fontId="11" fillId="37" borderId="13" xfId="97" applyFont="1" applyFill="1" applyBorder="1" applyAlignment="1">
      <alignment horizontal="center" vertical="top" wrapText="1"/>
      <protection/>
    </xf>
    <xf numFmtId="4" fontId="11" fillId="0" borderId="11" xfId="97" applyNumberFormat="1" applyFont="1" applyBorder="1" applyAlignment="1">
      <alignment horizontal="right" vertical="top"/>
      <protection/>
    </xf>
    <xf numFmtId="0" fontId="11" fillId="0" borderId="18" xfId="97" applyFont="1" applyBorder="1" applyAlignment="1">
      <alignment vertical="top" wrapText="1"/>
      <protection/>
    </xf>
    <xf numFmtId="0" fontId="11" fillId="37" borderId="16" xfId="97" applyFont="1" applyFill="1" applyBorder="1" applyAlignment="1">
      <alignment horizontal="center" vertical="top" wrapText="1"/>
      <protection/>
    </xf>
    <xf numFmtId="0" fontId="11" fillId="0" borderId="0" xfId="97" applyFont="1" applyBorder="1" applyAlignment="1">
      <alignment vertical="top" wrapText="1"/>
      <protection/>
    </xf>
    <xf numFmtId="0" fontId="11" fillId="35" borderId="11" xfId="97" applyFont="1" applyFill="1" applyBorder="1" applyAlignment="1">
      <alignment horizontal="center" vertical="top" wrapText="1"/>
      <protection/>
    </xf>
    <xf numFmtId="4" fontId="10" fillId="0" borderId="15" xfId="97" applyNumberFormat="1" applyFont="1" applyBorder="1" applyAlignment="1">
      <alignment vertical="top"/>
      <protection/>
    </xf>
    <xf numFmtId="4" fontId="10" fillId="0" borderId="11" xfId="97" applyNumberFormat="1" applyFont="1" applyBorder="1" applyAlignment="1">
      <alignment vertical="top" wrapText="1"/>
      <protection/>
    </xf>
    <xf numFmtId="0" fontId="11" fillId="37" borderId="19" xfId="97" applyFont="1" applyFill="1" applyBorder="1" applyAlignment="1">
      <alignment horizontal="center" vertical="top" wrapText="1"/>
      <protection/>
    </xf>
    <xf numFmtId="4" fontId="11" fillId="0" borderId="20" xfId="97" applyNumberFormat="1" applyFont="1" applyBorder="1" applyAlignment="1">
      <alignment horizontal="right" vertical="top" wrapText="1"/>
      <protection/>
    </xf>
    <xf numFmtId="0" fontId="2" fillId="0" borderId="21" xfId="97" applyBorder="1" applyAlignment="1">
      <alignment vertical="center"/>
      <protection/>
    </xf>
    <xf numFmtId="0" fontId="2" fillId="0" borderId="10" xfId="97" applyBorder="1" applyAlignment="1">
      <alignment vertical="center"/>
      <protection/>
    </xf>
    <xf numFmtId="0" fontId="4" fillId="0" borderId="0" xfId="97" applyFont="1" applyAlignment="1">
      <alignment vertical="center"/>
      <protection/>
    </xf>
    <xf numFmtId="4" fontId="2" fillId="0" borderId="0" xfId="97" applyNumberFormat="1">
      <alignment/>
      <protection/>
    </xf>
    <xf numFmtId="0" fontId="8" fillId="0" borderId="15" xfId="97" applyFont="1" applyFill="1" applyBorder="1" applyAlignment="1">
      <alignment horizontal="center" vertical="center" wrapText="1"/>
      <protection/>
    </xf>
    <xf numFmtId="4" fontId="8" fillId="0" borderId="21" xfId="97" applyNumberFormat="1" applyFont="1" applyBorder="1" applyAlignment="1">
      <alignment vertical="center"/>
      <protection/>
    </xf>
    <xf numFmtId="0" fontId="16" fillId="0" borderId="15" xfId="97" applyFont="1" applyFill="1" applyBorder="1" applyAlignment="1">
      <alignment horizontal="center" vertical="center" wrapText="1"/>
      <protection/>
    </xf>
    <xf numFmtId="0" fontId="10" fillId="35" borderId="11" xfId="97" applyFont="1" applyFill="1" applyBorder="1" applyAlignment="1">
      <alignment horizontal="center" vertical="center" wrapText="1"/>
      <protection/>
    </xf>
    <xf numFmtId="0" fontId="10" fillId="35" borderId="13" xfId="97" applyFont="1" applyFill="1" applyBorder="1" applyAlignment="1">
      <alignment horizontal="center" vertical="center" wrapText="1"/>
      <protection/>
    </xf>
    <xf numFmtId="0" fontId="10" fillId="0" borderId="16" xfId="97" applyFont="1" applyFill="1" applyBorder="1" applyAlignment="1">
      <alignment horizontal="center" vertical="center" wrapText="1"/>
      <protection/>
    </xf>
    <xf numFmtId="0" fontId="10" fillId="0" borderId="13" xfId="97" applyFont="1" applyFill="1" applyBorder="1" applyAlignment="1">
      <alignment horizontal="center" vertical="center" wrapText="1"/>
      <protection/>
    </xf>
    <xf numFmtId="164" fontId="10" fillId="0" borderId="13" xfId="97" applyNumberFormat="1" applyFont="1" applyFill="1" applyBorder="1" applyAlignment="1">
      <alignment horizontal="right" vertical="center" wrapText="1"/>
      <protection/>
    </xf>
    <xf numFmtId="164" fontId="10" fillId="0" borderId="16" xfId="97" applyNumberFormat="1" applyFont="1" applyFill="1" applyBorder="1" applyAlignment="1">
      <alignment horizontal="right" vertical="center" wrapText="1"/>
      <protection/>
    </xf>
    <xf numFmtId="164" fontId="10" fillId="35" borderId="11" xfId="97" applyNumberFormat="1" applyFont="1" applyFill="1" applyBorder="1" applyAlignment="1">
      <alignment horizontal="right" vertical="center" wrapText="1"/>
      <protection/>
    </xf>
    <xf numFmtId="4" fontId="10" fillId="35" borderId="11" xfId="97" applyNumberFormat="1" applyFont="1" applyFill="1" applyBorder="1" applyAlignment="1">
      <alignment horizontal="right" vertical="center" wrapText="1"/>
      <protection/>
    </xf>
    <xf numFmtId="0" fontId="8" fillId="37" borderId="15" xfId="97" applyFont="1" applyFill="1" applyBorder="1" applyAlignment="1">
      <alignment horizontal="center" vertical="center" wrapText="1"/>
      <protection/>
    </xf>
    <xf numFmtId="0" fontId="16" fillId="35" borderId="13" xfId="97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10" fillId="37" borderId="13" xfId="97" applyFont="1" applyFill="1" applyBorder="1" applyAlignment="1">
      <alignment horizontal="center" vertical="center" wrapText="1"/>
      <protection/>
    </xf>
    <xf numFmtId="0" fontId="16" fillId="37" borderId="15" xfId="97" applyFont="1" applyFill="1" applyBorder="1" applyAlignment="1">
      <alignment horizontal="center" vertical="center" wrapText="1"/>
      <protection/>
    </xf>
    <xf numFmtId="0" fontId="16" fillId="37" borderId="17" xfId="97" applyFont="1" applyFill="1" applyBorder="1" applyAlignment="1">
      <alignment horizontal="center" vertical="center" wrapText="1"/>
      <protection/>
    </xf>
    <xf numFmtId="0" fontId="10" fillId="35" borderId="12" xfId="97" applyFont="1" applyFill="1" applyBorder="1" applyAlignment="1">
      <alignment horizontal="center" vertical="center" wrapText="1"/>
      <protection/>
    </xf>
    <xf numFmtId="164" fontId="10" fillId="35" borderId="12" xfId="97" applyNumberFormat="1" applyFont="1" applyFill="1" applyBorder="1" applyAlignment="1">
      <alignment horizontal="right" vertical="center" wrapText="1"/>
      <protection/>
    </xf>
    <xf numFmtId="164" fontId="10" fillId="0" borderId="11" xfId="97" applyNumberFormat="1" applyFont="1" applyFill="1" applyBorder="1" applyAlignment="1">
      <alignment horizontal="right" vertical="center" wrapText="1"/>
      <protection/>
    </xf>
    <xf numFmtId="164" fontId="10" fillId="0" borderId="12" xfId="97" applyNumberFormat="1" applyFont="1" applyFill="1" applyBorder="1" applyAlignment="1">
      <alignment horizontal="right" vertical="center" wrapText="1"/>
      <protection/>
    </xf>
    <xf numFmtId="0" fontId="10" fillId="0" borderId="17" xfId="97" applyFont="1" applyFill="1" applyBorder="1" applyAlignment="1">
      <alignment horizontal="center" vertical="center" wrapText="1"/>
      <protection/>
    </xf>
    <xf numFmtId="0" fontId="10" fillId="35" borderId="17" xfId="97" applyFont="1" applyFill="1" applyBorder="1" applyAlignment="1">
      <alignment horizontal="center" vertical="center" wrapText="1"/>
      <protection/>
    </xf>
    <xf numFmtId="0" fontId="9" fillId="0" borderId="15" xfId="97" applyFont="1" applyBorder="1" applyAlignment="1">
      <alignment vertical="top" wrapText="1"/>
      <protection/>
    </xf>
    <xf numFmtId="0" fontId="10" fillId="35" borderId="17" xfId="97" applyFont="1" applyFill="1" applyBorder="1" applyAlignment="1">
      <alignment horizontal="center" vertical="top" wrapText="1"/>
      <protection/>
    </xf>
    <xf numFmtId="10" fontId="10" fillId="35" borderId="11" xfId="97" applyNumberFormat="1" applyFont="1" applyFill="1" applyBorder="1" applyAlignment="1">
      <alignment horizontal="right" vertical="center" wrapText="1"/>
      <protection/>
    </xf>
    <xf numFmtId="10" fontId="10" fillId="35" borderId="12" xfId="97" applyNumberFormat="1" applyFont="1" applyFill="1" applyBorder="1" applyAlignment="1">
      <alignment horizontal="right" vertical="center" wrapText="1"/>
      <protection/>
    </xf>
    <xf numFmtId="0" fontId="11" fillId="0" borderId="14" xfId="97" applyFont="1" applyBorder="1" applyAlignment="1">
      <alignment horizontal="center" vertical="top" wrapText="1"/>
      <protection/>
    </xf>
    <xf numFmtId="0" fontId="2" fillId="0" borderId="14" xfId="97" applyBorder="1">
      <alignment/>
      <protection/>
    </xf>
    <xf numFmtId="0" fontId="8" fillId="38" borderId="22" xfId="97" applyFont="1" applyFill="1" applyBorder="1" applyAlignment="1">
      <alignment horizontal="center" vertical="top" wrapText="1"/>
      <protection/>
    </xf>
    <xf numFmtId="164" fontId="10" fillId="0" borderId="23" xfId="97" applyNumberFormat="1" applyFont="1" applyFill="1" applyBorder="1" applyAlignment="1">
      <alignment horizontal="right" vertical="center" wrapText="1"/>
      <protection/>
    </xf>
    <xf numFmtId="0" fontId="8" fillId="38" borderId="22" xfId="97" applyFont="1" applyFill="1" applyBorder="1" applyAlignment="1">
      <alignment horizontal="center" vertical="center" wrapText="1"/>
      <protection/>
    </xf>
    <xf numFmtId="0" fontId="9" fillId="38" borderId="24" xfId="97" applyFont="1" applyFill="1" applyBorder="1" applyAlignment="1">
      <alignment horizontal="center" vertical="center" wrapText="1"/>
      <protection/>
    </xf>
    <xf numFmtId="4" fontId="8" fillId="38" borderId="24" xfId="97" applyNumberFormat="1" applyFont="1" applyFill="1" applyBorder="1" applyAlignment="1">
      <alignment horizontal="right" vertical="center" wrapText="1"/>
      <protection/>
    </xf>
    <xf numFmtId="0" fontId="16" fillId="38" borderId="22" xfId="97" applyFont="1" applyFill="1" applyBorder="1" applyAlignment="1">
      <alignment horizontal="center" vertical="center" wrapText="1"/>
      <protection/>
    </xf>
    <xf numFmtId="0" fontId="16" fillId="38" borderId="24" xfId="97" applyFont="1" applyFill="1" applyBorder="1" applyAlignment="1">
      <alignment horizontal="center" vertical="center" wrapText="1"/>
      <protection/>
    </xf>
    <xf numFmtId="164" fontId="8" fillId="38" borderId="24" xfId="97" applyNumberFormat="1" applyFont="1" applyFill="1" applyBorder="1" applyAlignment="1">
      <alignment horizontal="right" vertical="center" wrapText="1"/>
      <protection/>
    </xf>
    <xf numFmtId="164" fontId="8" fillId="38" borderId="24" xfId="97" applyNumberFormat="1" applyFont="1" applyFill="1" applyBorder="1" applyAlignment="1">
      <alignment horizontal="right" vertical="center" wrapText="1"/>
      <protection/>
    </xf>
    <xf numFmtId="0" fontId="10" fillId="38" borderId="22" xfId="97" applyFont="1" applyFill="1" applyBorder="1" applyAlignment="1">
      <alignment horizontal="center" vertical="center" wrapText="1"/>
      <protection/>
    </xf>
    <xf numFmtId="164" fontId="8" fillId="38" borderId="22" xfId="97" applyNumberFormat="1" applyFont="1" applyFill="1" applyBorder="1" applyAlignment="1">
      <alignment horizontal="right" vertical="center" wrapText="1"/>
      <protection/>
    </xf>
    <xf numFmtId="4" fontId="8" fillId="38" borderId="22" xfId="97" applyNumberFormat="1" applyFont="1" applyFill="1" applyBorder="1" applyAlignment="1">
      <alignment horizontal="right" vertical="center" wrapText="1"/>
      <protection/>
    </xf>
    <xf numFmtId="0" fontId="10" fillId="38" borderId="22" xfId="97" applyFont="1" applyFill="1" applyBorder="1" applyAlignment="1">
      <alignment horizontal="center" vertical="center" wrapText="1"/>
      <protection/>
    </xf>
    <xf numFmtId="0" fontId="10" fillId="38" borderId="24" xfId="97" applyFont="1" applyFill="1" applyBorder="1" applyAlignment="1">
      <alignment horizontal="center" vertical="center" wrapText="1"/>
      <protection/>
    </xf>
    <xf numFmtId="164" fontId="10" fillId="38" borderId="24" xfId="97" applyNumberFormat="1" applyFont="1" applyFill="1" applyBorder="1" applyAlignment="1">
      <alignment horizontal="right" vertical="center" wrapText="1"/>
      <protection/>
    </xf>
    <xf numFmtId="10" fontId="2" fillId="0" borderId="11" xfId="97" applyNumberFormat="1" applyBorder="1">
      <alignment/>
      <protection/>
    </xf>
    <xf numFmtId="10" fontId="8" fillId="0" borderId="21" xfId="97" applyNumberFormat="1" applyFont="1" applyBorder="1" applyAlignment="1">
      <alignment vertical="center"/>
      <protection/>
    </xf>
    <xf numFmtId="10" fontId="5" fillId="0" borderId="0" xfId="75" applyNumberFormat="1" applyAlignment="1">
      <alignment/>
    </xf>
    <xf numFmtId="0" fontId="11" fillId="0" borderId="17" xfId="97" applyFont="1" applyBorder="1" applyAlignment="1">
      <alignment horizontal="center" vertical="top" wrapText="1"/>
      <protection/>
    </xf>
    <xf numFmtId="4" fontId="10" fillId="37" borderId="16" xfId="97" applyNumberFormat="1" applyFont="1" applyFill="1" applyBorder="1" applyAlignment="1">
      <alignment horizontal="right" vertical="top" wrapText="1"/>
      <protection/>
    </xf>
    <xf numFmtId="0" fontId="2" fillId="0" borderId="17" xfId="97" applyBorder="1">
      <alignment/>
      <protection/>
    </xf>
    <xf numFmtId="0" fontId="2" fillId="0" borderId="0" xfId="97" applyBorder="1" applyAlignment="1">
      <alignment vertical="center"/>
      <protection/>
    </xf>
    <xf numFmtId="0" fontId="4" fillId="0" borderId="0" xfId="97" applyFont="1" applyBorder="1" applyAlignment="1">
      <alignment horizontal="right" vertical="center"/>
      <protection/>
    </xf>
    <xf numFmtId="4" fontId="4" fillId="0" borderId="0" xfId="97" applyNumberFormat="1" applyFont="1" applyBorder="1" applyAlignment="1">
      <alignment vertical="center"/>
      <protection/>
    </xf>
    <xf numFmtId="10" fontId="4" fillId="0" borderId="0" xfId="97" applyNumberFormat="1" applyFont="1" applyBorder="1" applyAlignment="1">
      <alignment vertical="center"/>
      <protection/>
    </xf>
    <xf numFmtId="43" fontId="8" fillId="37" borderId="11" xfId="97" applyNumberFormat="1" applyFont="1" applyFill="1" applyBorder="1" applyAlignment="1">
      <alignment vertical="center" wrapText="1"/>
      <protection/>
    </xf>
    <xf numFmtId="0" fontId="8" fillId="38" borderId="11" xfId="97" applyFont="1" applyFill="1" applyBorder="1" applyAlignment="1">
      <alignment horizontal="center" vertical="center" wrapText="1"/>
      <protection/>
    </xf>
    <xf numFmtId="0" fontId="10" fillId="0" borderId="25" xfId="97" applyFont="1" applyBorder="1" applyAlignment="1">
      <alignment vertical="center" wrapText="1"/>
      <protection/>
    </xf>
    <xf numFmtId="43" fontId="8" fillId="37" borderId="24" xfId="97" applyNumberFormat="1" applyFont="1" applyFill="1" applyBorder="1" applyAlignment="1">
      <alignment vertical="center" wrapText="1"/>
      <protection/>
    </xf>
    <xf numFmtId="0" fontId="2" fillId="0" borderId="0" xfId="95">
      <alignment/>
      <protection/>
    </xf>
    <xf numFmtId="0" fontId="22" fillId="0" borderId="0" xfId="95" applyFont="1">
      <alignment/>
      <protection/>
    </xf>
    <xf numFmtId="0" fontId="23" fillId="39" borderId="26" xfId="95" applyFont="1" applyFill="1" applyBorder="1" applyAlignment="1">
      <alignment horizontal="right" vertical="top"/>
      <protection/>
    </xf>
    <xf numFmtId="0" fontId="23" fillId="39" borderId="27" xfId="95" applyFont="1" applyFill="1" applyBorder="1" applyAlignment="1">
      <alignment horizontal="right" vertical="top"/>
      <protection/>
    </xf>
    <xf numFmtId="0" fontId="23" fillId="39" borderId="27" xfId="95" applyFont="1" applyFill="1" applyBorder="1" applyAlignment="1">
      <alignment horizontal="right" vertical="center"/>
      <protection/>
    </xf>
    <xf numFmtId="0" fontId="2" fillId="0" borderId="0" xfId="98">
      <alignment/>
      <protection/>
    </xf>
    <xf numFmtId="0" fontId="18" fillId="0" borderId="0" xfId="98" applyFont="1">
      <alignment/>
      <protection/>
    </xf>
    <xf numFmtId="0" fontId="2" fillId="0" borderId="0" xfId="98" applyAlignment="1">
      <alignment vertical="center"/>
      <protection/>
    </xf>
    <xf numFmtId="49" fontId="4" fillId="0" borderId="28" xfId="98" applyNumberFormat="1" applyFont="1" applyBorder="1" applyAlignment="1">
      <alignment horizontal="center" vertical="top" wrapText="1"/>
      <protection/>
    </xf>
    <xf numFmtId="4" fontId="2" fillId="0" borderId="29" xfId="98" applyNumberFormat="1" applyFont="1" applyBorder="1" applyAlignment="1">
      <alignment horizontal="right" vertical="center"/>
      <protection/>
    </xf>
    <xf numFmtId="0" fontId="18" fillId="0" borderId="30" xfId="98" applyFont="1" applyBorder="1" applyAlignment="1">
      <alignment horizontal="left" vertical="top" wrapText="1"/>
      <protection/>
    </xf>
    <xf numFmtId="0" fontId="18" fillId="0" borderId="31" xfId="98" applyFont="1" applyBorder="1" applyAlignment="1">
      <alignment horizontal="left" vertical="top" wrapText="1"/>
      <protection/>
    </xf>
    <xf numFmtId="49" fontId="2" fillId="0" borderId="32" xfId="98" applyNumberFormat="1" applyFont="1" applyBorder="1" applyAlignment="1">
      <alignment horizontal="center" vertical="center"/>
      <protection/>
    </xf>
    <xf numFmtId="49" fontId="4" fillId="0" borderId="33" xfId="98" applyNumberFormat="1" applyFont="1" applyBorder="1" applyAlignment="1">
      <alignment horizontal="center" vertical="top" wrapText="1"/>
      <protection/>
    </xf>
    <xf numFmtId="49" fontId="4" fillId="0" borderId="31" xfId="98" applyNumberFormat="1" applyFont="1" applyBorder="1" applyAlignment="1">
      <alignment horizontal="center" vertical="top" wrapText="1"/>
      <protection/>
    </xf>
    <xf numFmtId="0" fontId="28" fillId="0" borderId="31" xfId="98" applyFont="1" applyBorder="1" applyAlignment="1">
      <alignment horizontal="left" vertical="top" wrapText="1"/>
      <protection/>
    </xf>
    <xf numFmtId="49" fontId="4" fillId="0" borderId="34" xfId="98" applyNumberFormat="1" applyFont="1" applyBorder="1" applyAlignment="1">
      <alignment horizontal="center" vertical="top" wrapText="1"/>
      <protection/>
    </xf>
    <xf numFmtId="49" fontId="2" fillId="0" borderId="34" xfId="98" applyNumberFormat="1" applyFont="1" applyBorder="1" applyAlignment="1">
      <alignment horizontal="center" vertical="center"/>
      <protection/>
    </xf>
    <xf numFmtId="4" fontId="2" fillId="0" borderId="35" xfId="98" applyNumberFormat="1" applyFont="1" applyBorder="1" applyAlignment="1">
      <alignment horizontal="right" vertical="center"/>
      <protection/>
    </xf>
    <xf numFmtId="0" fontId="18" fillId="0" borderId="34" xfId="98" applyFont="1" applyBorder="1" applyAlignment="1">
      <alignment horizontal="left" vertical="top" wrapText="1"/>
      <protection/>
    </xf>
    <xf numFmtId="49" fontId="4" fillId="0" borderId="36" xfId="98" applyNumberFormat="1" applyFont="1" applyBorder="1" applyAlignment="1">
      <alignment horizontal="center" vertical="top" wrapText="1"/>
      <protection/>
    </xf>
    <xf numFmtId="49" fontId="2" fillId="0" borderId="31" xfId="98" applyNumberFormat="1" applyFont="1" applyBorder="1" applyAlignment="1">
      <alignment horizontal="center" vertical="center"/>
      <protection/>
    </xf>
    <xf numFmtId="4" fontId="2" fillId="0" borderId="31" xfId="98" applyNumberFormat="1" applyFont="1" applyBorder="1" applyAlignment="1">
      <alignment horizontal="right" vertical="center"/>
      <protection/>
    </xf>
    <xf numFmtId="4" fontId="2" fillId="0" borderId="37" xfId="98" applyNumberFormat="1" applyFont="1" applyBorder="1" applyAlignment="1">
      <alignment horizontal="right" vertical="center"/>
      <protection/>
    </xf>
    <xf numFmtId="49" fontId="2" fillId="0" borderId="38" xfId="98" applyNumberFormat="1" applyFont="1" applyBorder="1" applyAlignment="1">
      <alignment horizontal="center" vertical="center"/>
      <protection/>
    </xf>
    <xf numFmtId="4" fontId="2" fillId="0" borderId="39" xfId="98" applyNumberFormat="1" applyFont="1" applyBorder="1" applyAlignment="1">
      <alignment horizontal="right" vertical="center"/>
      <protection/>
    </xf>
    <xf numFmtId="49" fontId="2" fillId="0" borderId="31" xfId="98" applyNumberFormat="1" applyFont="1" applyBorder="1" applyAlignment="1">
      <alignment horizontal="center" vertical="center"/>
      <protection/>
    </xf>
    <xf numFmtId="4" fontId="2" fillId="0" borderId="31" xfId="98" applyNumberFormat="1" applyFont="1" applyBorder="1" applyAlignment="1">
      <alignment horizontal="right" vertical="center"/>
      <protection/>
    </xf>
    <xf numFmtId="49" fontId="2" fillId="0" borderId="31" xfId="98" applyNumberFormat="1" applyBorder="1" applyAlignment="1">
      <alignment horizontal="center" vertical="center"/>
      <protection/>
    </xf>
    <xf numFmtId="0" fontId="18" fillId="0" borderId="11" xfId="98" applyFont="1" applyBorder="1" applyAlignment="1">
      <alignment horizontal="left" vertical="top" wrapText="1"/>
      <protection/>
    </xf>
    <xf numFmtId="4" fontId="2" fillId="0" borderId="17" xfId="98" applyNumberFormat="1" applyFont="1" applyBorder="1" applyAlignment="1">
      <alignment horizontal="right" vertical="center"/>
      <protection/>
    </xf>
    <xf numFmtId="0" fontId="18" fillId="0" borderId="17" xfId="98" applyFont="1" applyBorder="1" applyAlignment="1">
      <alignment horizontal="left" vertical="top" wrapText="1"/>
      <protection/>
    </xf>
    <xf numFmtId="49" fontId="2" fillId="0" borderId="17" xfId="98" applyNumberFormat="1" applyBorder="1" applyAlignment="1">
      <alignment horizontal="center" vertical="center"/>
      <protection/>
    </xf>
    <xf numFmtId="49" fontId="2" fillId="0" borderId="17" xfId="98" applyNumberFormat="1" applyFont="1" applyBorder="1" applyAlignment="1">
      <alignment horizontal="center" vertical="center"/>
      <protection/>
    </xf>
    <xf numFmtId="4" fontId="2" fillId="0" borderId="17" xfId="98" applyNumberFormat="1" applyFont="1" applyBorder="1" applyAlignment="1">
      <alignment horizontal="right" vertical="center"/>
      <protection/>
    </xf>
    <xf numFmtId="49" fontId="2" fillId="0" borderId="11" xfId="98" applyNumberFormat="1" applyFont="1" applyBorder="1" applyAlignment="1">
      <alignment horizontal="center" vertical="center"/>
      <protection/>
    </xf>
    <xf numFmtId="4" fontId="2" fillId="0" borderId="11" xfId="98" applyNumberFormat="1" applyFont="1" applyBorder="1" applyAlignment="1">
      <alignment horizontal="right" vertical="center"/>
      <protection/>
    </xf>
    <xf numFmtId="4" fontId="2" fillId="0" borderId="40" xfId="98" applyNumberFormat="1" applyFont="1" applyBorder="1" applyAlignment="1">
      <alignment horizontal="right" vertical="center"/>
      <protection/>
    </xf>
    <xf numFmtId="0" fontId="18" fillId="0" borderId="41" xfId="98" applyFont="1" applyBorder="1" applyAlignment="1">
      <alignment horizontal="left" vertical="top" wrapText="1"/>
      <protection/>
    </xf>
    <xf numFmtId="0" fontId="18" fillId="0" borderId="42" xfId="98" applyFont="1" applyBorder="1" applyAlignment="1">
      <alignment horizontal="left" vertical="top" wrapText="1"/>
      <protection/>
    </xf>
    <xf numFmtId="4" fontId="2" fillId="0" borderId="0" xfId="98" applyNumberFormat="1">
      <alignment/>
      <protection/>
    </xf>
    <xf numFmtId="0" fontId="2" fillId="0" borderId="0" xfId="98" applyFont="1">
      <alignment/>
      <protection/>
    </xf>
    <xf numFmtId="0" fontId="2" fillId="0" borderId="0" xfId="98" applyFont="1" applyAlignment="1">
      <alignment wrapText="1"/>
      <protection/>
    </xf>
    <xf numFmtId="0" fontId="29" fillId="0" borderId="0" xfId="95" applyFont="1">
      <alignment/>
      <protection/>
    </xf>
    <xf numFmtId="0" fontId="5" fillId="0" borderId="0" xfId="54" applyAlignment="1">
      <alignment/>
    </xf>
    <xf numFmtId="0" fontId="3" fillId="0" borderId="0" xfId="98" applyFont="1" applyAlignment="1">
      <alignment/>
      <protection/>
    </xf>
    <xf numFmtId="0" fontId="6" fillId="0" borderId="0" xfId="98" applyFont="1" applyAlignment="1">
      <alignment wrapText="1"/>
      <protection/>
    </xf>
    <xf numFmtId="0" fontId="30" fillId="0" borderId="0" xfId="95" applyFont="1" applyAlignment="1">
      <alignment horizontal="center" vertical="center"/>
      <protection/>
    </xf>
    <xf numFmtId="0" fontId="14" fillId="0" borderId="0" xfId="95" applyFont="1">
      <alignment/>
      <protection/>
    </xf>
    <xf numFmtId="0" fontId="32" fillId="0" borderId="43" xfId="95" applyFont="1" applyBorder="1" applyAlignment="1">
      <alignment horizontal="center" vertical="center"/>
      <protection/>
    </xf>
    <xf numFmtId="0" fontId="32" fillId="0" borderId="28" xfId="95" applyFont="1" applyBorder="1" applyAlignment="1">
      <alignment horizontal="center" vertical="center"/>
      <protection/>
    </xf>
    <xf numFmtId="0" fontId="33" fillId="0" borderId="44" xfId="95" applyFont="1" applyBorder="1" applyAlignment="1">
      <alignment horizontal="center" vertical="center"/>
      <protection/>
    </xf>
    <xf numFmtId="0" fontId="20" fillId="0" borderId="45" xfId="95" applyFont="1" applyBorder="1" applyAlignment="1">
      <alignment horizontal="center" vertical="center"/>
      <protection/>
    </xf>
    <xf numFmtId="49" fontId="34" fillId="0" borderId="45" xfId="95" applyNumberFormat="1" applyFont="1" applyBorder="1" applyAlignment="1">
      <alignment horizontal="center" vertical="center" wrapText="1"/>
      <protection/>
    </xf>
    <xf numFmtId="0" fontId="34" fillId="0" borderId="11" xfId="95" applyFont="1" applyBorder="1" applyAlignment="1">
      <alignment horizontal="center" vertical="center"/>
      <protection/>
    </xf>
    <xf numFmtId="0" fontId="20" fillId="0" borderId="46" xfId="95" applyFont="1" applyBorder="1" applyAlignment="1">
      <alignment horizontal="left" vertical="center" wrapText="1"/>
      <protection/>
    </xf>
    <xf numFmtId="4" fontId="34" fillId="0" borderId="47" xfId="95" applyNumberFormat="1" applyFont="1" applyBorder="1" applyAlignment="1">
      <alignment horizontal="right" vertical="center" wrapText="1"/>
      <protection/>
    </xf>
    <xf numFmtId="0" fontId="21" fillId="0" borderId="48" xfId="95" applyFont="1" applyBorder="1" applyAlignment="1">
      <alignment vertical="center" wrapText="1"/>
      <protection/>
    </xf>
    <xf numFmtId="4" fontId="14" fillId="0" borderId="49" xfId="95" applyNumberFormat="1" applyFont="1" applyBorder="1" applyAlignment="1">
      <alignment horizontal="right" vertical="center" wrapText="1"/>
      <protection/>
    </xf>
    <xf numFmtId="165" fontId="35" fillId="40" borderId="43" xfId="95" applyNumberFormat="1" applyFont="1" applyFill="1" applyBorder="1" applyAlignment="1">
      <alignment horizontal="left" vertical="top" wrapText="1"/>
      <protection/>
    </xf>
    <xf numFmtId="0" fontId="29" fillId="40" borderId="28" xfId="95" applyFont="1" applyFill="1" applyBorder="1" applyAlignment="1">
      <alignment vertical="top" wrapText="1"/>
      <protection/>
    </xf>
    <xf numFmtId="0" fontId="29" fillId="40" borderId="44" xfId="95" applyFont="1" applyFill="1" applyBorder="1" applyAlignment="1">
      <alignment vertical="top" wrapText="1"/>
      <protection/>
    </xf>
    <xf numFmtId="0" fontId="35" fillId="40" borderId="45" xfId="95" applyFont="1" applyFill="1" applyBorder="1" applyAlignment="1">
      <alignment horizontal="left" vertical="top" wrapText="1"/>
      <protection/>
    </xf>
    <xf numFmtId="4" fontId="36" fillId="40" borderId="45" xfId="95" applyNumberFormat="1" applyFont="1" applyFill="1" applyBorder="1" applyAlignment="1">
      <alignment horizontal="right" vertical="top" wrapText="1"/>
      <protection/>
    </xf>
    <xf numFmtId="166" fontId="30" fillId="41" borderId="28" xfId="95" applyNumberFormat="1" applyFont="1" applyFill="1" applyBorder="1" applyAlignment="1">
      <alignment horizontal="left" vertical="top" wrapText="1"/>
      <protection/>
    </xf>
    <xf numFmtId="0" fontId="29" fillId="41" borderId="44" xfId="95" applyFont="1" applyFill="1" applyBorder="1" applyAlignment="1">
      <alignment vertical="top" wrapText="1"/>
      <protection/>
    </xf>
    <xf numFmtId="0" fontId="30" fillId="41" borderId="45" xfId="95" applyFont="1" applyFill="1" applyBorder="1" applyAlignment="1">
      <alignment horizontal="left" vertical="top" wrapText="1"/>
      <protection/>
    </xf>
    <xf numFmtId="4" fontId="29" fillId="41" borderId="45" xfId="95" applyNumberFormat="1" applyFont="1" applyFill="1" applyBorder="1" applyAlignment="1">
      <alignment horizontal="right" vertical="top" wrapText="1"/>
      <protection/>
    </xf>
    <xf numFmtId="0" fontId="29" fillId="0" borderId="32" xfId="95" applyFont="1" applyBorder="1" applyAlignment="1">
      <alignment vertical="top" wrapText="1"/>
      <protection/>
    </xf>
    <xf numFmtId="167" fontId="30" fillId="0" borderId="44" xfId="95" applyNumberFormat="1" applyFont="1" applyBorder="1" applyAlignment="1">
      <alignment horizontal="left" vertical="top" wrapText="1"/>
      <protection/>
    </xf>
    <xf numFmtId="0" fontId="30" fillId="0" borderId="45" xfId="95" applyFont="1" applyBorder="1" applyAlignment="1">
      <alignment horizontal="left" vertical="top" wrapText="1"/>
      <protection/>
    </xf>
    <xf numFmtId="4" fontId="29" fillId="0" borderId="45" xfId="95" applyNumberFormat="1" applyFont="1" applyBorder="1" applyAlignment="1">
      <alignment horizontal="right" vertical="top" wrapText="1"/>
      <protection/>
    </xf>
    <xf numFmtId="4" fontId="29" fillId="0" borderId="11" xfId="95" applyNumberFormat="1" applyFont="1" applyBorder="1" applyAlignment="1">
      <alignment vertical="top" wrapText="1"/>
      <protection/>
    </xf>
    <xf numFmtId="0" fontId="29" fillId="41" borderId="50" xfId="95" applyFont="1" applyFill="1" applyBorder="1" applyAlignment="1">
      <alignment vertical="top" wrapText="1"/>
      <protection/>
    </xf>
    <xf numFmtId="0" fontId="30" fillId="41" borderId="29" xfId="95" applyFont="1" applyFill="1" applyBorder="1" applyAlignment="1">
      <alignment horizontal="left" vertical="top" wrapText="1"/>
      <protection/>
    </xf>
    <xf numFmtId="4" fontId="29" fillId="41" borderId="29" xfId="95" applyNumberFormat="1" applyFont="1" applyFill="1" applyBorder="1" applyAlignment="1">
      <alignment horizontal="right" vertical="top" wrapText="1"/>
      <protection/>
    </xf>
    <xf numFmtId="0" fontId="29" fillId="0" borderId="27" xfId="95" applyFont="1" applyBorder="1" applyAlignment="1">
      <alignment vertical="top" wrapText="1"/>
      <protection/>
    </xf>
    <xf numFmtId="167" fontId="30" fillId="0" borderId="51" xfId="95" applyNumberFormat="1" applyFont="1" applyBorder="1" applyAlignment="1">
      <alignment horizontal="left" vertical="top" wrapText="1"/>
      <protection/>
    </xf>
    <xf numFmtId="0" fontId="30" fillId="0" borderId="52" xfId="95" applyFont="1" applyBorder="1" applyAlignment="1">
      <alignment horizontal="left" vertical="top" wrapText="1"/>
      <protection/>
    </xf>
    <xf numFmtId="4" fontId="29" fillId="0" borderId="29" xfId="95" applyNumberFormat="1" applyFont="1" applyBorder="1" applyAlignment="1">
      <alignment horizontal="right" vertical="top" wrapText="1"/>
      <protection/>
    </xf>
    <xf numFmtId="4" fontId="29" fillId="0" borderId="14" xfId="95" applyNumberFormat="1" applyFont="1" applyBorder="1" applyAlignment="1">
      <alignment vertical="top" wrapText="1"/>
      <protection/>
    </xf>
    <xf numFmtId="0" fontId="14" fillId="0" borderId="25" xfId="95" applyFont="1" applyBorder="1" applyAlignment="1">
      <alignment vertical="center" wrapText="1"/>
      <protection/>
    </xf>
    <xf numFmtId="4" fontId="14" fillId="0" borderId="53" xfId="95" applyNumberFormat="1" applyFont="1" applyBorder="1" applyAlignment="1">
      <alignment vertical="center" wrapText="1"/>
      <protection/>
    </xf>
    <xf numFmtId="0" fontId="36" fillId="38" borderId="11" xfId="95" applyFont="1" applyFill="1" applyBorder="1" applyAlignment="1">
      <alignment horizontal="left" vertical="center" wrapText="1"/>
      <protection/>
    </xf>
    <xf numFmtId="0" fontId="29" fillId="38" borderId="11" xfId="95" applyFont="1" applyFill="1" applyBorder="1" applyAlignment="1">
      <alignment horizontal="left" vertical="center" wrapText="1"/>
      <protection/>
    </xf>
    <xf numFmtId="4" fontId="36" fillId="38" borderId="54" xfId="95" applyNumberFormat="1" applyFont="1" applyFill="1" applyBorder="1" applyAlignment="1">
      <alignment vertical="center" wrapText="1"/>
      <protection/>
    </xf>
    <xf numFmtId="0" fontId="29" fillId="35" borderId="11" xfId="95" applyFont="1" applyFill="1" applyBorder="1" applyAlignment="1">
      <alignment horizontal="left" vertical="center" wrapText="1"/>
      <protection/>
    </xf>
    <xf numFmtId="4" fontId="29" fillId="35" borderId="55" xfId="95" applyNumberFormat="1" applyFont="1" applyFill="1" applyBorder="1" applyAlignment="1">
      <alignment vertical="center" wrapText="1"/>
      <protection/>
    </xf>
    <xf numFmtId="4" fontId="29" fillId="35" borderId="11" xfId="95" applyNumberFormat="1" applyFont="1" applyFill="1" applyBorder="1" applyAlignment="1">
      <alignment vertical="center" wrapText="1"/>
      <protection/>
    </xf>
    <xf numFmtId="0" fontId="14" fillId="0" borderId="14" xfId="95" applyFont="1" applyBorder="1" applyAlignment="1">
      <alignment horizontal="center" vertical="center" wrapText="1"/>
      <protection/>
    </xf>
    <xf numFmtId="0" fontId="29" fillId="0" borderId="11" xfId="95" applyFont="1" applyBorder="1" applyAlignment="1">
      <alignment horizontal="left" vertical="top" wrapText="1"/>
      <protection/>
    </xf>
    <xf numFmtId="0" fontId="30" fillId="0" borderId="39" xfId="95" applyFont="1" applyBorder="1" applyAlignment="1">
      <alignment horizontal="left" vertical="top" wrapText="1"/>
      <protection/>
    </xf>
    <xf numFmtId="4" fontId="29" fillId="0" borderId="56" xfId="95" applyNumberFormat="1" applyFont="1" applyBorder="1" applyAlignment="1">
      <alignment vertical="top" wrapText="1"/>
      <protection/>
    </xf>
    <xf numFmtId="4" fontId="29" fillId="0" borderId="11" xfId="95" applyNumberFormat="1" applyFont="1" applyBorder="1" applyAlignment="1">
      <alignment vertical="top" wrapText="1"/>
      <protection/>
    </xf>
    <xf numFmtId="4" fontId="30" fillId="0" borderId="11" xfId="54" applyNumberFormat="1" applyFont="1" applyBorder="1" applyAlignment="1">
      <alignment vertical="top" wrapText="1"/>
    </xf>
    <xf numFmtId="0" fontId="36" fillId="38" borderId="55" xfId="95" applyFont="1" applyFill="1" applyBorder="1" applyAlignment="1">
      <alignment horizontal="left" vertical="center" wrapText="1"/>
      <protection/>
    </xf>
    <xf numFmtId="4" fontId="36" fillId="38" borderId="56" xfId="95" applyNumberFormat="1" applyFont="1" applyFill="1" applyBorder="1" applyAlignment="1">
      <alignment horizontal="right" vertical="center" wrapText="1"/>
      <protection/>
    </xf>
    <xf numFmtId="4" fontId="36" fillId="38" borderId="11" xfId="95" applyNumberFormat="1" applyFont="1" applyFill="1" applyBorder="1" applyAlignment="1">
      <alignment horizontal="right" vertical="center" wrapText="1"/>
      <protection/>
    </xf>
    <xf numFmtId="0" fontId="34" fillId="37" borderId="14" xfId="95" applyFont="1" applyFill="1" applyBorder="1" applyAlignment="1">
      <alignment horizontal="center" vertical="center" wrapText="1"/>
      <protection/>
    </xf>
    <xf numFmtId="0" fontId="29" fillId="35" borderId="12" xfId="95" applyFont="1" applyFill="1" applyBorder="1" applyAlignment="1">
      <alignment horizontal="left" vertical="center" wrapText="1"/>
      <protection/>
    </xf>
    <xf numFmtId="0" fontId="29" fillId="35" borderId="11" xfId="95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top" wrapText="1"/>
      <protection/>
    </xf>
    <xf numFmtId="4" fontId="29" fillId="35" borderId="54" xfId="95" applyNumberFormat="1" applyFont="1" applyFill="1" applyBorder="1" applyAlignment="1">
      <alignment vertical="center" wrapText="1"/>
      <protection/>
    </xf>
    <xf numFmtId="0" fontId="34" fillId="37" borderId="15" xfId="95" applyFont="1" applyFill="1" applyBorder="1" applyAlignment="1">
      <alignment horizontal="center" vertical="center" wrapText="1"/>
      <protection/>
    </xf>
    <xf numFmtId="0" fontId="36" fillId="37" borderId="12" xfId="95" applyFont="1" applyFill="1" applyBorder="1" applyAlignment="1">
      <alignment horizontal="left" vertical="center" wrapText="1"/>
      <protection/>
    </xf>
    <xf numFmtId="0" fontId="29" fillId="37" borderId="11" xfId="95" applyFont="1" applyFill="1" applyBorder="1" applyAlignment="1">
      <alignment horizontal="left" vertical="top" wrapText="1"/>
      <protection/>
    </xf>
    <xf numFmtId="0" fontId="30" fillId="0" borderId="37" xfId="95" applyFont="1" applyBorder="1" applyAlignment="1">
      <alignment horizontal="left" vertical="top" wrapText="1"/>
      <protection/>
    </xf>
    <xf numFmtId="4" fontId="29" fillId="37" borderId="54" xfId="95" applyNumberFormat="1" applyFont="1" applyFill="1" applyBorder="1" applyAlignment="1">
      <alignment vertical="top" wrapText="1"/>
      <protection/>
    </xf>
    <xf numFmtId="0" fontId="29" fillId="35" borderId="55" xfId="95" applyFont="1" applyFill="1" applyBorder="1" applyAlignment="1">
      <alignment horizontal="left" vertical="center" wrapText="1"/>
      <protection/>
    </xf>
    <xf numFmtId="4" fontId="29" fillId="35" borderId="56" xfId="95" applyNumberFormat="1" applyFont="1" applyFill="1" applyBorder="1" applyAlignment="1">
      <alignment vertical="center" wrapText="1"/>
      <protection/>
    </xf>
    <xf numFmtId="0" fontId="14" fillId="0" borderId="11" xfId="95" applyFont="1" applyBorder="1" applyAlignment="1">
      <alignment horizontal="left" vertical="center" wrapText="1"/>
      <protection/>
    </xf>
    <xf numFmtId="0" fontId="29" fillId="0" borderId="38" xfId="95" applyFont="1" applyBorder="1" applyAlignment="1">
      <alignment vertical="top" wrapText="1"/>
      <protection/>
    </xf>
    <xf numFmtId="167" fontId="30" fillId="0" borderId="57" xfId="95" applyNumberFormat="1" applyFont="1" applyBorder="1" applyAlignment="1">
      <alignment horizontal="left" vertical="top" wrapText="1"/>
      <protection/>
    </xf>
    <xf numFmtId="4" fontId="29" fillId="0" borderId="39" xfId="95" applyNumberFormat="1" applyFont="1" applyBorder="1" applyAlignment="1">
      <alignment horizontal="right" vertical="top" wrapText="1"/>
      <protection/>
    </xf>
    <xf numFmtId="0" fontId="36" fillId="37" borderId="25" xfId="95" applyFont="1" applyFill="1" applyBorder="1" applyAlignment="1">
      <alignment horizontal="center" vertical="center" wrapText="1"/>
      <protection/>
    </xf>
    <xf numFmtId="0" fontId="29" fillId="35" borderId="34" xfId="95" applyFont="1" applyFill="1" applyBorder="1" applyAlignment="1">
      <alignment horizontal="left" vertical="top" wrapText="1"/>
      <protection/>
    </xf>
    <xf numFmtId="167" fontId="30" fillId="35" borderId="40" xfId="95" applyNumberFormat="1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top" wrapText="1"/>
      <protection/>
    </xf>
    <xf numFmtId="4" fontId="29" fillId="35" borderId="11" xfId="95" applyNumberFormat="1" applyFont="1" applyFill="1" applyBorder="1" applyAlignment="1">
      <alignment horizontal="right" vertical="top" wrapText="1"/>
      <protection/>
    </xf>
    <xf numFmtId="4" fontId="29" fillId="35" borderId="11" xfId="95" applyNumberFormat="1" applyFont="1" applyFill="1" applyBorder="1" applyAlignment="1">
      <alignment vertical="top" wrapText="1"/>
      <protection/>
    </xf>
    <xf numFmtId="0" fontId="36" fillId="37" borderId="48" xfId="95" applyFont="1" applyFill="1" applyBorder="1" applyAlignment="1">
      <alignment horizontal="center" vertical="center" wrapText="1"/>
      <protection/>
    </xf>
    <xf numFmtId="0" fontId="29" fillId="0" borderId="33" xfId="95" applyFont="1" applyBorder="1" applyAlignment="1">
      <alignment vertical="top" wrapText="1"/>
      <protection/>
    </xf>
    <xf numFmtId="167" fontId="30" fillId="0" borderId="0" xfId="95" applyNumberFormat="1" applyFont="1" applyBorder="1" applyAlignment="1">
      <alignment horizontal="left" vertical="top" wrapText="1"/>
      <protection/>
    </xf>
    <xf numFmtId="4" fontId="29" fillId="0" borderId="17" xfId="95" applyNumberFormat="1" applyFont="1" applyBorder="1" applyAlignment="1">
      <alignment horizontal="right" vertical="top" wrapText="1"/>
      <protection/>
    </xf>
    <xf numFmtId="4" fontId="29" fillId="0" borderId="17" xfId="95" applyNumberFormat="1" applyFont="1" applyBorder="1" applyAlignment="1">
      <alignment vertical="top" wrapText="1"/>
      <protection/>
    </xf>
    <xf numFmtId="0" fontId="35" fillId="40" borderId="56" xfId="95" applyFont="1" applyFill="1" applyBorder="1" applyAlignment="1">
      <alignment horizontal="left" vertical="top" wrapText="1"/>
      <protection/>
    </xf>
    <xf numFmtId="4" fontId="36" fillId="40" borderId="56" xfId="95" applyNumberFormat="1" applyFont="1" applyFill="1" applyBorder="1" applyAlignment="1">
      <alignment horizontal="right" vertical="top" wrapText="1"/>
      <protection/>
    </xf>
    <xf numFmtId="0" fontId="29" fillId="0" borderId="58" xfId="95" applyFont="1" applyFill="1" applyBorder="1" applyAlignment="1">
      <alignment vertical="top" wrapText="1"/>
      <protection/>
    </xf>
    <xf numFmtId="166" fontId="30" fillId="41" borderId="38" xfId="95" applyNumberFormat="1" applyFont="1" applyFill="1" applyBorder="1" applyAlignment="1">
      <alignment horizontal="left" vertical="top" wrapText="1"/>
      <protection/>
    </xf>
    <xf numFmtId="0" fontId="29" fillId="41" borderId="57" xfId="95" applyFont="1" applyFill="1" applyBorder="1" applyAlignment="1">
      <alignment vertical="top" wrapText="1"/>
      <protection/>
    </xf>
    <xf numFmtId="0" fontId="30" fillId="41" borderId="39" xfId="95" applyFont="1" applyFill="1" applyBorder="1" applyAlignment="1">
      <alignment horizontal="left" vertical="top" wrapText="1"/>
      <protection/>
    </xf>
    <xf numFmtId="4" fontId="29" fillId="41" borderId="39" xfId="95" applyNumberFormat="1" applyFont="1" applyFill="1" applyBorder="1" applyAlignment="1">
      <alignment horizontal="right" vertical="top" wrapText="1"/>
      <protection/>
    </xf>
    <xf numFmtId="0" fontId="29" fillId="0" borderId="41" xfId="95" applyFont="1" applyBorder="1" applyAlignment="1">
      <alignment vertical="top" wrapText="1"/>
      <protection/>
    </xf>
    <xf numFmtId="0" fontId="29" fillId="0" borderId="31" xfId="95" applyFont="1" applyBorder="1" applyAlignment="1">
      <alignment vertical="top" wrapText="1"/>
      <protection/>
    </xf>
    <xf numFmtId="167" fontId="30" fillId="0" borderId="31" xfId="95" applyNumberFormat="1" applyFont="1" applyBorder="1" applyAlignment="1">
      <alignment horizontal="left" vertical="top" wrapText="1"/>
      <protection/>
    </xf>
    <xf numFmtId="4" fontId="29" fillId="0" borderId="37" xfId="95" applyNumberFormat="1" applyFont="1" applyBorder="1" applyAlignment="1">
      <alignment horizontal="right" vertical="top" wrapText="1"/>
      <protection/>
    </xf>
    <xf numFmtId="0" fontId="36" fillId="40" borderId="59" xfId="95" applyFont="1" applyFill="1" applyBorder="1" applyAlignment="1">
      <alignment horizontal="left" vertical="top" wrapText="1"/>
      <protection/>
    </xf>
    <xf numFmtId="0" fontId="29" fillId="40" borderId="34" xfId="95" applyFont="1" applyFill="1" applyBorder="1" applyAlignment="1">
      <alignment vertical="top" wrapText="1"/>
      <protection/>
    </xf>
    <xf numFmtId="167" fontId="30" fillId="40" borderId="60" xfId="95" applyNumberFormat="1" applyFont="1" applyFill="1" applyBorder="1" applyAlignment="1">
      <alignment horizontal="left" vertical="top" wrapText="1"/>
      <protection/>
    </xf>
    <xf numFmtId="0" fontId="35" fillId="40" borderId="35" xfId="95" applyFont="1" applyFill="1" applyBorder="1" applyAlignment="1">
      <alignment horizontal="left" vertical="top" wrapText="1"/>
      <protection/>
    </xf>
    <xf numFmtId="4" fontId="36" fillId="40" borderId="35" xfId="95" applyNumberFormat="1" applyFont="1" applyFill="1" applyBorder="1" applyAlignment="1">
      <alignment horizontal="right" vertical="top" wrapText="1"/>
      <protection/>
    </xf>
    <xf numFmtId="0" fontId="29" fillId="41" borderId="34" xfId="95" applyFont="1" applyFill="1" applyBorder="1" applyAlignment="1">
      <alignment horizontal="left" vertical="top" wrapText="1"/>
      <protection/>
    </xf>
    <xf numFmtId="167" fontId="30" fillId="41" borderId="40" xfId="95" applyNumberFormat="1" applyFont="1" applyFill="1" applyBorder="1" applyAlignment="1">
      <alignment horizontal="left" vertical="top" wrapText="1"/>
      <protection/>
    </xf>
    <xf numFmtId="0" fontId="30" fillId="41" borderId="35" xfId="95" applyFont="1" applyFill="1" applyBorder="1" applyAlignment="1">
      <alignment horizontal="left" vertical="top" wrapText="1"/>
      <protection/>
    </xf>
    <xf numFmtId="4" fontId="29" fillId="41" borderId="35" xfId="95" applyNumberFormat="1" applyFont="1" applyFill="1" applyBorder="1" applyAlignment="1">
      <alignment horizontal="right" vertical="top" wrapText="1"/>
      <protection/>
    </xf>
    <xf numFmtId="0" fontId="29" fillId="0" borderId="36" xfId="95" applyFont="1" applyBorder="1" applyAlignment="1">
      <alignment vertical="top" wrapText="1"/>
      <protection/>
    </xf>
    <xf numFmtId="167" fontId="30" fillId="0" borderId="61" xfId="95" applyNumberFormat="1" applyFont="1" applyBorder="1" applyAlignment="1">
      <alignment horizontal="left" vertical="top" wrapText="1"/>
      <protection/>
    </xf>
    <xf numFmtId="0" fontId="30" fillId="0" borderId="56" xfId="95" applyFont="1" applyBorder="1" applyAlignment="1">
      <alignment horizontal="left" vertical="top" wrapText="1"/>
      <protection/>
    </xf>
    <xf numFmtId="4" fontId="29" fillId="0" borderId="56" xfId="95" applyNumberFormat="1" applyFont="1" applyBorder="1" applyAlignment="1">
      <alignment horizontal="right" vertical="top" wrapText="1"/>
      <protection/>
    </xf>
    <xf numFmtId="0" fontId="29" fillId="41" borderId="38" xfId="95" applyFont="1" applyFill="1" applyBorder="1" applyAlignment="1">
      <alignment horizontal="left" vertical="top" wrapText="1"/>
      <protection/>
    </xf>
    <xf numFmtId="167" fontId="30" fillId="41" borderId="62" xfId="95" applyNumberFormat="1" applyFont="1" applyFill="1" applyBorder="1" applyAlignment="1">
      <alignment horizontal="left" vertical="top" wrapText="1"/>
      <protection/>
    </xf>
    <xf numFmtId="167" fontId="30" fillId="0" borderId="63" xfId="95" applyNumberFormat="1" applyFont="1" applyBorder="1" applyAlignment="1">
      <alignment horizontal="left" vertical="top" wrapText="1"/>
      <protection/>
    </xf>
    <xf numFmtId="0" fontId="36" fillId="38" borderId="11" xfId="95" applyFont="1" applyFill="1" applyBorder="1" applyAlignment="1">
      <alignment horizontal="left" vertical="top" wrapText="1"/>
      <protection/>
    </xf>
    <xf numFmtId="0" fontId="29" fillId="38" borderId="11" xfId="95" applyFont="1" applyFill="1" applyBorder="1" applyAlignment="1">
      <alignment vertical="top" wrapText="1"/>
      <protection/>
    </xf>
    <xf numFmtId="167" fontId="30" fillId="38" borderId="11" xfId="95" applyNumberFormat="1" applyFont="1" applyFill="1" applyBorder="1" applyAlignment="1">
      <alignment horizontal="left" vertical="top" wrapText="1"/>
      <protection/>
    </xf>
    <xf numFmtId="0" fontId="35" fillId="38" borderId="11" xfId="95" applyFont="1" applyFill="1" applyBorder="1" applyAlignment="1">
      <alignment horizontal="left" vertical="top" wrapText="1"/>
      <protection/>
    </xf>
    <xf numFmtId="4" fontId="29" fillId="38" borderId="54" xfId="95" applyNumberFormat="1" applyFont="1" applyFill="1" applyBorder="1" applyAlignment="1">
      <alignment horizontal="right" vertical="top" wrapText="1"/>
      <protection/>
    </xf>
    <xf numFmtId="0" fontId="29" fillId="35" borderId="11" xfId="95" applyFont="1" applyFill="1" applyBorder="1" applyAlignment="1">
      <alignment horizontal="left" vertical="top" wrapText="1"/>
      <protection/>
    </xf>
    <xf numFmtId="167" fontId="30" fillId="35" borderId="11" xfId="95" applyNumberFormat="1" applyFont="1" applyFill="1" applyBorder="1" applyAlignment="1">
      <alignment horizontal="left" vertical="top" wrapText="1"/>
      <protection/>
    </xf>
    <xf numFmtId="0" fontId="35" fillId="35" borderId="11" xfId="95" applyFont="1" applyFill="1" applyBorder="1" applyAlignment="1">
      <alignment horizontal="left" vertical="top" wrapText="1"/>
      <protection/>
    </xf>
    <xf numFmtId="4" fontId="29" fillId="35" borderId="54" xfId="95" applyNumberFormat="1" applyFont="1" applyFill="1" applyBorder="1" applyAlignment="1">
      <alignment horizontal="right" vertical="top" wrapText="1"/>
      <protection/>
    </xf>
    <xf numFmtId="0" fontId="29" fillId="0" borderId="11" xfId="95" applyFont="1" applyBorder="1" applyAlignment="1">
      <alignment vertical="top" wrapText="1"/>
      <protection/>
    </xf>
    <xf numFmtId="167" fontId="30" fillId="0" borderId="11" xfId="95" applyNumberFormat="1" applyFont="1" applyBorder="1" applyAlignment="1">
      <alignment horizontal="left" vertical="top" wrapText="1"/>
      <protection/>
    </xf>
    <xf numFmtId="0" fontId="30" fillId="0" borderId="11" xfId="95" applyFont="1" applyBorder="1" applyAlignment="1">
      <alignment horizontal="left" vertical="top" wrapText="1"/>
      <protection/>
    </xf>
    <xf numFmtId="4" fontId="29" fillId="0" borderId="54" xfId="95" applyNumberFormat="1" applyFont="1" applyBorder="1" applyAlignment="1">
      <alignment horizontal="right" vertical="top" wrapText="1"/>
      <protection/>
    </xf>
    <xf numFmtId="0" fontId="29" fillId="42" borderId="28" xfId="95" applyFont="1" applyFill="1" applyBorder="1" applyAlignment="1">
      <alignment horizontal="left" vertical="top" wrapText="1"/>
      <protection/>
    </xf>
    <xf numFmtId="0" fontId="29" fillId="0" borderId="30" xfId="95" applyFont="1" applyBorder="1" applyAlignment="1">
      <alignment vertical="top" wrapText="1"/>
      <protection/>
    </xf>
    <xf numFmtId="0" fontId="14" fillId="0" borderId="64" xfId="95" applyFont="1" applyFill="1" applyBorder="1" applyAlignment="1">
      <alignment vertical="center" wrapText="1"/>
      <protection/>
    </xf>
    <xf numFmtId="165" fontId="35" fillId="40" borderId="65" xfId="95" applyNumberFormat="1" applyFont="1" applyFill="1" applyBorder="1" applyAlignment="1">
      <alignment horizontal="left" vertical="top" wrapText="1"/>
      <protection/>
    </xf>
    <xf numFmtId="0" fontId="29" fillId="0" borderId="28" xfId="95" applyFont="1" applyBorder="1" applyAlignment="1">
      <alignment vertical="top" wrapText="1"/>
      <protection/>
    </xf>
    <xf numFmtId="0" fontId="14" fillId="0" borderId="48" xfId="95" applyFont="1" applyFill="1" applyBorder="1" applyAlignment="1">
      <alignment horizontal="left" vertical="center" wrapText="1"/>
      <protection/>
    </xf>
    <xf numFmtId="4" fontId="14" fillId="0" borderId="56" xfId="95" applyNumberFormat="1" applyFont="1" applyBorder="1" applyAlignment="1">
      <alignment vertical="center" wrapText="1"/>
      <protection/>
    </xf>
    <xf numFmtId="165" fontId="35" fillId="40" borderId="43" xfId="95" applyNumberFormat="1" applyFont="1" applyFill="1" applyBorder="1" applyAlignment="1" quotePrefix="1">
      <alignment horizontal="left" vertical="top" wrapText="1"/>
      <protection/>
    </xf>
    <xf numFmtId="166" fontId="30" fillId="41" borderId="28" xfId="95" applyNumberFormat="1" applyFont="1" applyFill="1" applyBorder="1" applyAlignment="1" quotePrefix="1">
      <alignment horizontal="left" vertical="top" wrapText="1"/>
      <protection/>
    </xf>
    <xf numFmtId="0" fontId="29" fillId="0" borderId="11" xfId="95" applyFont="1" applyFill="1" applyBorder="1" applyAlignment="1">
      <alignment horizontal="left" vertical="top" wrapText="1"/>
      <protection/>
    </xf>
    <xf numFmtId="0" fontId="30" fillId="0" borderId="54" xfId="95" applyFont="1" applyBorder="1" applyAlignment="1">
      <alignment horizontal="left" vertical="top" wrapText="1"/>
      <protection/>
    </xf>
    <xf numFmtId="0" fontId="36" fillId="38" borderId="17" xfId="95" applyFont="1" applyFill="1" applyBorder="1" applyAlignment="1">
      <alignment horizontal="left" vertical="center" wrapText="1"/>
      <protection/>
    </xf>
    <xf numFmtId="0" fontId="36" fillId="38" borderId="66" xfId="95" applyFont="1" applyFill="1" applyBorder="1" applyAlignment="1">
      <alignment horizontal="left" vertical="center" wrapText="1"/>
      <protection/>
    </xf>
    <xf numFmtId="4" fontId="36" fillId="38" borderId="56" xfId="95" applyNumberFormat="1" applyFont="1" applyFill="1" applyBorder="1" applyAlignment="1">
      <alignment vertical="center" wrapText="1"/>
      <protection/>
    </xf>
    <xf numFmtId="0" fontId="29" fillId="35" borderId="54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left" vertical="top" wrapText="1"/>
      <protection/>
    </xf>
    <xf numFmtId="0" fontId="30" fillId="0" borderId="67" xfId="95" applyFont="1" applyBorder="1" applyAlignment="1">
      <alignment horizontal="left" vertical="top" wrapText="1"/>
      <protection/>
    </xf>
    <xf numFmtId="4" fontId="29" fillId="0" borderId="68" xfId="95" applyNumberFormat="1" applyFont="1" applyBorder="1" applyAlignment="1">
      <alignment vertical="top" wrapText="1"/>
      <protection/>
    </xf>
    <xf numFmtId="0" fontId="30" fillId="0" borderId="29" xfId="95" applyFont="1" applyBorder="1" applyAlignment="1">
      <alignment horizontal="left" vertical="top" wrapText="1"/>
      <protection/>
    </xf>
    <xf numFmtId="4" fontId="29" fillId="0" borderId="67" xfId="95" applyNumberFormat="1" applyFont="1" applyBorder="1" applyAlignment="1">
      <alignment vertical="top" wrapText="1"/>
      <protection/>
    </xf>
    <xf numFmtId="4" fontId="130" fillId="0" borderId="11" xfId="54" applyNumberFormat="1" applyFont="1" applyBorder="1" applyAlignment="1">
      <alignment vertical="top" wrapText="1"/>
    </xf>
    <xf numFmtId="0" fontId="34" fillId="38" borderId="11" xfId="95" applyFont="1" applyFill="1" applyBorder="1" applyAlignment="1">
      <alignment horizontal="center" vertical="center" wrapText="1"/>
      <protection/>
    </xf>
    <xf numFmtId="0" fontId="36" fillId="35" borderId="11" xfId="95" applyFont="1" applyFill="1" applyBorder="1" applyAlignment="1">
      <alignment horizontal="left" vertical="top" wrapText="1"/>
      <protection/>
    </xf>
    <xf numFmtId="0" fontId="5" fillId="37" borderId="0" xfId="54" applyFill="1" applyAlignment="1">
      <alignment/>
    </xf>
    <xf numFmtId="4" fontId="29" fillId="37" borderId="54" xfId="95" applyNumberFormat="1" applyFont="1" applyFill="1" applyBorder="1" applyAlignment="1">
      <alignment vertical="center" wrapText="1"/>
      <protection/>
    </xf>
    <xf numFmtId="0" fontId="14" fillId="0" borderId="15" xfId="95" applyFont="1" applyFill="1" applyBorder="1" applyAlignment="1">
      <alignment vertical="center" wrapText="1"/>
      <protection/>
    </xf>
    <xf numFmtId="0" fontId="29" fillId="35" borderId="12" xfId="95" applyFont="1" applyFill="1" applyBorder="1" applyAlignment="1">
      <alignment horizontal="left" vertical="center" wrapText="1"/>
      <protection/>
    </xf>
    <xf numFmtId="0" fontId="29" fillId="0" borderId="15" xfId="95" applyFont="1" applyFill="1" applyBorder="1" applyAlignment="1">
      <alignment vertical="center" wrapText="1"/>
      <protection/>
    </xf>
    <xf numFmtId="4" fontId="29" fillId="0" borderId="54" xfId="95" applyNumberFormat="1" applyFont="1" applyBorder="1" applyAlignment="1">
      <alignment vertical="top" wrapText="1"/>
      <protection/>
    </xf>
    <xf numFmtId="0" fontId="14" fillId="0" borderId="17" xfId="95" applyFont="1" applyFill="1" applyBorder="1" applyAlignment="1">
      <alignment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165" fontId="35" fillId="40" borderId="48" xfId="95" applyNumberFormat="1" applyFont="1" applyFill="1" applyBorder="1" applyAlignment="1">
      <alignment horizontal="left" vertical="top" wrapText="1"/>
      <protection/>
    </xf>
    <xf numFmtId="0" fontId="29" fillId="40" borderId="11" xfId="95" applyFont="1" applyFill="1" applyBorder="1" applyAlignment="1">
      <alignment vertical="top" wrapText="1"/>
      <protection/>
    </xf>
    <xf numFmtId="0" fontId="29" fillId="40" borderId="61" xfId="95" applyFont="1" applyFill="1" applyBorder="1" applyAlignment="1">
      <alignment vertical="top" wrapText="1"/>
      <protection/>
    </xf>
    <xf numFmtId="0" fontId="29" fillId="0" borderId="58" xfId="95" applyFont="1" applyFill="1" applyBorder="1" applyAlignment="1">
      <alignment horizontal="left" vertical="top" wrapText="1"/>
      <protection/>
    </xf>
    <xf numFmtId="166" fontId="30" fillId="41" borderId="36" xfId="95" applyNumberFormat="1" applyFont="1" applyFill="1" applyBorder="1" applyAlignment="1">
      <alignment horizontal="left" vertical="top" wrapText="1"/>
      <protection/>
    </xf>
    <xf numFmtId="0" fontId="29" fillId="0" borderId="41" xfId="95" applyFont="1" applyBorder="1" applyAlignment="1">
      <alignment horizontal="left" vertical="top" wrapText="1"/>
      <protection/>
    </xf>
    <xf numFmtId="167" fontId="30" fillId="0" borderId="50" xfId="95" applyNumberFormat="1" applyFont="1" applyBorder="1" applyAlignment="1">
      <alignment horizontal="left" vertical="top" wrapText="1"/>
      <protection/>
    </xf>
    <xf numFmtId="0" fontId="29" fillId="0" borderId="25" xfId="95" applyFont="1" applyBorder="1" applyAlignment="1">
      <alignment horizontal="left" vertical="top" wrapText="1"/>
      <protection/>
    </xf>
    <xf numFmtId="0" fontId="29" fillId="0" borderId="15" xfId="95" applyFont="1" applyBorder="1" applyAlignment="1">
      <alignment vertical="top" wrapText="1"/>
      <protection/>
    </xf>
    <xf numFmtId="167" fontId="30" fillId="0" borderId="69" xfId="95" applyNumberFormat="1" applyFont="1" applyBorder="1" applyAlignment="1">
      <alignment horizontal="left" vertical="top" wrapText="1"/>
      <protection/>
    </xf>
    <xf numFmtId="0" fontId="30" fillId="0" borderId="68" xfId="95" applyFont="1" applyBorder="1" applyAlignment="1">
      <alignment horizontal="left" vertical="top" wrapText="1"/>
      <protection/>
    </xf>
    <xf numFmtId="4" fontId="29" fillId="0" borderId="25" xfId="95" applyNumberFormat="1" applyFont="1" applyBorder="1" applyAlignment="1">
      <alignment horizontal="right" vertical="top" wrapText="1"/>
      <protection/>
    </xf>
    <xf numFmtId="0" fontId="36" fillId="38" borderId="11" xfId="95" applyFont="1" applyFill="1" applyBorder="1" applyAlignment="1">
      <alignment vertical="top" wrapText="1"/>
      <protection/>
    </xf>
    <xf numFmtId="167" fontId="35" fillId="38" borderId="11" xfId="95" applyNumberFormat="1" applyFont="1" applyFill="1" applyBorder="1" applyAlignment="1">
      <alignment horizontal="left" vertical="top" wrapText="1"/>
      <protection/>
    </xf>
    <xf numFmtId="4" fontId="36" fillId="38" borderId="54" xfId="95" applyNumberFormat="1" applyFont="1" applyFill="1" applyBorder="1" applyAlignment="1">
      <alignment horizontal="right" vertical="top" wrapText="1"/>
      <protection/>
    </xf>
    <xf numFmtId="0" fontId="36" fillId="37" borderId="42" xfId="95" applyFont="1" applyFill="1" applyBorder="1" applyAlignment="1">
      <alignment vertical="top" wrapText="1"/>
      <protection/>
    </xf>
    <xf numFmtId="0" fontId="29" fillId="35" borderId="34" xfId="95" applyFont="1" applyFill="1" applyBorder="1" applyAlignment="1">
      <alignment horizontal="left" vertical="top" wrapText="1"/>
      <protection/>
    </xf>
    <xf numFmtId="167" fontId="30" fillId="35" borderId="60" xfId="95" applyNumberFormat="1" applyFont="1" applyFill="1" applyBorder="1" applyAlignment="1">
      <alignment horizontal="left" vertical="top" wrapText="1"/>
      <protection/>
    </xf>
    <xf numFmtId="0" fontId="30" fillId="35" borderId="35" xfId="95" applyFont="1" applyFill="1" applyBorder="1" applyAlignment="1">
      <alignment horizontal="left" vertical="top" wrapText="1"/>
      <protection/>
    </xf>
    <xf numFmtId="4" fontId="29" fillId="35" borderId="35" xfId="95" applyNumberFormat="1" applyFont="1" applyFill="1" applyBorder="1" applyAlignment="1">
      <alignment horizontal="right" vertical="top" wrapText="1"/>
      <protection/>
    </xf>
    <xf numFmtId="0" fontId="36" fillId="37" borderId="41" xfId="95" applyFont="1" applyFill="1" applyBorder="1" applyAlignment="1">
      <alignment vertical="top" wrapText="1"/>
      <protection/>
    </xf>
    <xf numFmtId="0" fontId="29" fillId="37" borderId="34" xfId="95" applyFont="1" applyFill="1" applyBorder="1" applyAlignment="1">
      <alignment horizontal="left" vertical="top" wrapText="1"/>
      <protection/>
    </xf>
    <xf numFmtId="4" fontId="29" fillId="37" borderId="35" xfId="95" applyNumberFormat="1" applyFont="1" applyFill="1" applyBorder="1" applyAlignment="1">
      <alignment horizontal="right" vertical="top" wrapText="1"/>
      <protection/>
    </xf>
    <xf numFmtId="167" fontId="30" fillId="35" borderId="60" xfId="95" applyNumberFormat="1" applyFont="1" applyFill="1" applyBorder="1" applyAlignment="1">
      <alignment horizontal="left" vertical="top" wrapText="1"/>
      <protection/>
    </xf>
    <xf numFmtId="0" fontId="30" fillId="35" borderId="35" xfId="95" applyFont="1" applyFill="1" applyBorder="1" applyAlignment="1">
      <alignment horizontal="left" vertical="top" wrapText="1"/>
      <protection/>
    </xf>
    <xf numFmtId="0" fontId="36" fillId="37" borderId="70" xfId="95" applyFont="1" applyFill="1" applyBorder="1" applyAlignment="1">
      <alignment vertical="top" wrapText="1"/>
      <protection/>
    </xf>
    <xf numFmtId="4" fontId="29" fillId="0" borderId="68" xfId="95" applyNumberFormat="1" applyFont="1" applyBorder="1" applyAlignment="1">
      <alignment horizontal="right" vertical="top" wrapText="1"/>
      <protection/>
    </xf>
    <xf numFmtId="0" fontId="29" fillId="40" borderId="71" xfId="95" applyFont="1" applyFill="1" applyBorder="1" applyAlignment="1">
      <alignment vertical="top" wrapText="1"/>
      <protection/>
    </xf>
    <xf numFmtId="0" fontId="29" fillId="40" borderId="72" xfId="95" applyFont="1" applyFill="1" applyBorder="1" applyAlignment="1">
      <alignment vertical="top" wrapText="1"/>
      <protection/>
    </xf>
    <xf numFmtId="0" fontId="35" fillId="40" borderId="73" xfId="95" applyFont="1" applyFill="1" applyBorder="1" applyAlignment="1">
      <alignment horizontal="left" vertical="top" wrapText="1"/>
      <protection/>
    </xf>
    <xf numFmtId="4" fontId="36" fillId="40" borderId="73" xfId="95" applyNumberFormat="1" applyFont="1" applyFill="1" applyBorder="1" applyAlignment="1">
      <alignment horizontal="right" vertical="top" wrapText="1"/>
      <protection/>
    </xf>
    <xf numFmtId="0" fontId="29" fillId="41" borderId="61" xfId="95" applyFont="1" applyFill="1" applyBorder="1" applyAlignment="1">
      <alignment vertical="top" wrapText="1"/>
      <protection/>
    </xf>
    <xf numFmtId="0" fontId="30" fillId="41" borderId="56" xfId="95" applyFont="1" applyFill="1" applyBorder="1" applyAlignment="1">
      <alignment horizontal="left" vertical="top" wrapText="1"/>
      <protection/>
    </xf>
    <xf numFmtId="4" fontId="29" fillId="41" borderId="56" xfId="95" applyNumberFormat="1" applyFont="1" applyFill="1" applyBorder="1" applyAlignment="1">
      <alignment horizontal="right" vertical="top" wrapText="1"/>
      <protection/>
    </xf>
    <xf numFmtId="0" fontId="29" fillId="0" borderId="74" xfId="95" applyFont="1" applyBorder="1" applyAlignment="1">
      <alignment vertical="top" wrapText="1"/>
      <protection/>
    </xf>
    <xf numFmtId="0" fontId="29" fillId="0" borderId="75" xfId="95" applyFont="1" applyBorder="1" applyAlignment="1">
      <alignment vertical="top" wrapText="1"/>
      <protection/>
    </xf>
    <xf numFmtId="4" fontId="34" fillId="0" borderId="76" xfId="95" applyNumberFormat="1" applyFont="1" applyBorder="1" applyAlignment="1">
      <alignment horizontal="right" vertical="center" wrapText="1"/>
      <protection/>
    </xf>
    <xf numFmtId="0" fontId="32" fillId="0" borderId="43" xfId="95" applyFont="1" applyBorder="1" applyAlignment="1">
      <alignment horizontal="center" vertical="center" wrapText="1"/>
      <protection/>
    </xf>
    <xf numFmtId="0" fontId="32" fillId="0" borderId="28" xfId="95" applyFont="1" applyBorder="1" applyAlignment="1">
      <alignment horizontal="center" vertical="center" wrapText="1"/>
      <protection/>
    </xf>
    <xf numFmtId="0" fontId="33" fillId="0" borderId="44" xfId="95" applyFont="1" applyBorder="1" applyAlignment="1">
      <alignment horizontal="center" vertical="center" wrapText="1"/>
      <protection/>
    </xf>
    <xf numFmtId="0" fontId="20" fillId="0" borderId="45" xfId="95" applyFont="1" applyBorder="1" applyAlignment="1">
      <alignment horizontal="center" vertical="center" wrapText="1"/>
      <protection/>
    </xf>
    <xf numFmtId="49" fontId="36" fillId="0" borderId="45" xfId="95" applyNumberFormat="1" applyFont="1" applyBorder="1" applyAlignment="1">
      <alignment horizontal="center" vertical="center" wrapText="1"/>
      <protection/>
    </xf>
    <xf numFmtId="0" fontId="34" fillId="0" borderId="11" xfId="95" applyFont="1" applyBorder="1" applyAlignment="1">
      <alignment horizontal="center" vertical="center" wrapText="1"/>
      <protection/>
    </xf>
    <xf numFmtId="4" fontId="34" fillId="0" borderId="47" xfId="95" applyNumberFormat="1" applyFont="1" applyBorder="1" applyAlignment="1">
      <alignment horizontal="right" vertical="center" wrapText="1"/>
      <protection/>
    </xf>
    <xf numFmtId="0" fontId="14" fillId="0" borderId="77" xfId="95" applyFont="1" applyBorder="1" applyAlignment="1">
      <alignment vertical="center" wrapText="1"/>
      <protection/>
    </xf>
    <xf numFmtId="4" fontId="14" fillId="0" borderId="53" xfId="95" applyNumberFormat="1" applyFont="1" applyBorder="1" applyAlignment="1">
      <alignment vertical="center" wrapText="1"/>
      <protection/>
    </xf>
    <xf numFmtId="0" fontId="29" fillId="41" borderId="31" xfId="95" applyFont="1" applyFill="1" applyBorder="1" applyAlignment="1">
      <alignment horizontal="left" vertical="top" wrapText="1"/>
      <protection/>
    </xf>
    <xf numFmtId="167" fontId="30" fillId="41" borderId="18" xfId="95" applyNumberFormat="1" applyFont="1" applyFill="1" applyBorder="1" applyAlignment="1">
      <alignment horizontal="left" vertical="top" wrapText="1"/>
      <protection/>
    </xf>
    <xf numFmtId="0" fontId="30" fillId="41" borderId="37" xfId="95" applyFont="1" applyFill="1" applyBorder="1" applyAlignment="1">
      <alignment horizontal="left" vertical="top" wrapText="1"/>
      <protection/>
    </xf>
    <xf numFmtId="4" fontId="29" fillId="41" borderId="37" xfId="95" applyNumberFormat="1" applyFont="1" applyFill="1" applyBorder="1" applyAlignment="1">
      <alignment horizontal="right" vertical="top" wrapText="1"/>
      <protection/>
    </xf>
    <xf numFmtId="0" fontId="36" fillId="43" borderId="14" xfId="95" applyFont="1" applyFill="1" applyBorder="1" applyAlignment="1">
      <alignment horizontal="center" vertical="top" wrapText="1"/>
      <protection/>
    </xf>
    <xf numFmtId="0" fontId="36" fillId="43" borderId="15" xfId="95" applyFont="1" applyFill="1" applyBorder="1" applyAlignment="1">
      <alignment horizontal="center" vertical="top" wrapText="1"/>
      <protection/>
    </xf>
    <xf numFmtId="4" fontId="29" fillId="0" borderId="11" xfId="95" applyNumberFormat="1" applyFont="1" applyBorder="1" applyAlignment="1">
      <alignment horizontal="right" vertical="top" wrapText="1"/>
      <protection/>
    </xf>
    <xf numFmtId="0" fontId="36" fillId="43" borderId="41" xfId="95" applyFont="1" applyFill="1" applyBorder="1" applyAlignment="1">
      <alignment horizontal="left" vertical="top" wrapText="1"/>
      <protection/>
    </xf>
    <xf numFmtId="0" fontId="36" fillId="43" borderId="17" xfId="95" applyFont="1" applyFill="1" applyBorder="1" applyAlignment="1">
      <alignment horizontal="left" vertical="top" wrapText="1"/>
      <protection/>
    </xf>
    <xf numFmtId="0" fontId="20" fillId="0" borderId="78" xfId="95" applyFont="1" applyBorder="1" applyAlignment="1">
      <alignment horizontal="left" vertical="center" wrapText="1"/>
      <protection/>
    </xf>
    <xf numFmtId="4" fontId="36" fillId="0" borderId="78" xfId="95" applyNumberFormat="1" applyFont="1" applyBorder="1" applyAlignment="1">
      <alignment horizontal="right" vertical="center" wrapText="1"/>
      <protection/>
    </xf>
    <xf numFmtId="0" fontId="21" fillId="0" borderId="25" xfId="95" applyFont="1" applyBorder="1" applyAlignment="1">
      <alignment horizontal="left" vertical="center" wrapText="1"/>
      <protection/>
    </xf>
    <xf numFmtId="4" fontId="29" fillId="0" borderId="66" xfId="95" applyNumberFormat="1" applyFont="1" applyBorder="1" applyAlignment="1">
      <alignment horizontal="right" vertical="center" wrapText="1"/>
      <protection/>
    </xf>
    <xf numFmtId="0" fontId="20" fillId="38" borderId="11" xfId="95" applyFont="1" applyFill="1" applyBorder="1" applyAlignment="1">
      <alignment horizontal="left" vertical="center" wrapText="1"/>
      <protection/>
    </xf>
    <xf numFmtId="0" fontId="34" fillId="38" borderId="54" xfId="95" applyFont="1" applyFill="1" applyBorder="1" applyAlignment="1">
      <alignment horizontal="left" vertical="center" wrapText="1"/>
      <protection/>
    </xf>
    <xf numFmtId="0" fontId="34" fillId="38" borderId="11" xfId="95" applyFont="1" applyFill="1" applyBorder="1" applyAlignment="1">
      <alignment horizontal="left" vertical="center" wrapText="1"/>
      <protection/>
    </xf>
    <xf numFmtId="0" fontId="34" fillId="38" borderId="18" xfId="95" applyFont="1" applyFill="1" applyBorder="1" applyAlignment="1">
      <alignment horizontal="left" vertical="center" wrapText="1"/>
      <protection/>
    </xf>
    <xf numFmtId="4" fontId="36" fillId="38" borderId="66" xfId="95" applyNumberFormat="1" applyFont="1" applyFill="1" applyBorder="1" applyAlignment="1">
      <alignment horizontal="right" vertical="center" wrapText="1"/>
      <protection/>
    </xf>
    <xf numFmtId="0" fontId="29" fillId="0" borderId="0" xfId="95" applyFont="1" applyAlignment="1">
      <alignment vertical="top"/>
      <protection/>
    </xf>
    <xf numFmtId="0" fontId="14" fillId="35" borderId="11" xfId="95" applyFont="1" applyFill="1" applyBorder="1" applyAlignment="1">
      <alignment horizontal="left" vertical="center" wrapText="1"/>
      <protection/>
    </xf>
    <xf numFmtId="4" fontId="29" fillId="35" borderId="11" xfId="95" applyNumberFormat="1" applyFont="1" applyFill="1" applyBorder="1" applyAlignment="1">
      <alignment horizontal="right" vertical="center" wrapText="1"/>
      <protection/>
    </xf>
    <xf numFmtId="0" fontId="30" fillId="0" borderId="14" xfId="95" applyFont="1" applyBorder="1" applyAlignment="1">
      <alignment horizontal="left" vertical="center" wrapText="1"/>
      <protection/>
    </xf>
    <xf numFmtId="0" fontId="29" fillId="0" borderId="67" xfId="95" applyFont="1" applyBorder="1" applyAlignment="1">
      <alignment horizontal="left" vertical="top" wrapText="1"/>
      <protection/>
    </xf>
    <xf numFmtId="0" fontId="35" fillId="38" borderId="11" xfId="95" applyFont="1" applyFill="1" applyBorder="1" applyAlignment="1">
      <alignment horizontal="left" vertical="center" wrapText="1"/>
      <protection/>
    </xf>
    <xf numFmtId="0" fontId="36" fillId="43" borderId="14" xfId="95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center" wrapText="1"/>
      <protection/>
    </xf>
    <xf numFmtId="0" fontId="36" fillId="43" borderId="15" xfId="95" applyFont="1" applyFill="1" applyBorder="1" applyAlignment="1">
      <alignment horizontal="left" vertical="top" wrapText="1"/>
      <protection/>
    </xf>
    <xf numFmtId="0" fontId="30" fillId="0" borderId="11" xfId="95" applyFont="1" applyBorder="1" applyAlignment="1">
      <alignment horizontal="left" vertical="center" wrapText="1"/>
      <protection/>
    </xf>
    <xf numFmtId="0" fontId="29" fillId="0" borderId="54" xfId="95" applyFont="1" applyBorder="1" applyAlignment="1">
      <alignment horizontal="left" vertical="top" wrapText="1"/>
      <protection/>
    </xf>
    <xf numFmtId="0" fontId="29" fillId="0" borderId="14" xfId="95" applyFont="1" applyBorder="1" applyAlignment="1">
      <alignment vertical="top" wrapText="1"/>
      <protection/>
    </xf>
    <xf numFmtId="4" fontId="34" fillId="0" borderId="68" xfId="95" applyNumberFormat="1" applyFont="1" applyBorder="1" applyAlignment="1">
      <alignment vertical="center" wrapText="1"/>
      <protection/>
    </xf>
    <xf numFmtId="4" fontId="34" fillId="0" borderId="54" xfId="95" applyNumberFormat="1" applyFont="1" applyBorder="1" applyAlignment="1">
      <alignment vertical="center" wrapText="1"/>
      <protection/>
    </xf>
    <xf numFmtId="0" fontId="14" fillId="0" borderId="0" xfId="96">
      <alignment/>
      <protection/>
    </xf>
    <xf numFmtId="0" fontId="14" fillId="0" borderId="0" xfId="96" applyAlignment="1">
      <alignment vertical="center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19" fillId="0" borderId="28" xfId="96" applyFont="1" applyBorder="1" applyAlignment="1">
      <alignment horizontal="left" vertical="center" wrapText="1"/>
      <protection/>
    </xf>
    <xf numFmtId="0" fontId="19" fillId="0" borderId="28" xfId="96" applyFont="1" applyBorder="1" applyAlignment="1">
      <alignment horizontal="center" vertical="center"/>
      <protection/>
    </xf>
    <xf numFmtId="0" fontId="19" fillId="0" borderId="44" xfId="96" applyFont="1" applyBorder="1" applyAlignment="1">
      <alignment horizontal="center" vertical="center"/>
      <protection/>
    </xf>
    <xf numFmtId="0" fontId="14" fillId="0" borderId="32" xfId="96" applyFont="1" applyBorder="1" applyAlignment="1">
      <alignment vertical="center"/>
      <protection/>
    </xf>
    <xf numFmtId="0" fontId="29" fillId="0" borderId="33" xfId="96" applyFont="1" applyBorder="1" applyAlignment="1">
      <alignment vertical="center" wrapText="1"/>
      <protection/>
    </xf>
    <xf numFmtId="168" fontId="29" fillId="0" borderId="69" xfId="96" applyNumberFormat="1" applyFont="1" applyBorder="1" applyAlignment="1">
      <alignment horizontal="center" vertical="center" wrapText="1"/>
      <protection/>
    </xf>
    <xf numFmtId="168" fontId="29" fillId="0" borderId="33" xfId="96" applyNumberFormat="1" applyFont="1" applyBorder="1" applyAlignment="1">
      <alignment horizontal="center" vertical="center" wrapText="1"/>
      <protection/>
    </xf>
    <xf numFmtId="164" fontId="29" fillId="0" borderId="33" xfId="96" applyNumberFormat="1" applyFont="1" applyBorder="1" applyAlignment="1">
      <alignment horizontal="center" vertical="center" wrapText="1"/>
      <protection/>
    </xf>
    <xf numFmtId="0" fontId="14" fillId="0" borderId="33" xfId="96" applyFont="1" applyBorder="1" applyAlignment="1">
      <alignment vertical="center"/>
      <protection/>
    </xf>
    <xf numFmtId="0" fontId="37" fillId="0" borderId="33" xfId="96" applyFont="1" applyBorder="1" applyAlignment="1">
      <alignment vertical="center" wrapText="1"/>
      <protection/>
    </xf>
    <xf numFmtId="164" fontId="37" fillId="0" borderId="69" xfId="96" applyNumberFormat="1" applyFont="1" applyBorder="1" applyAlignment="1">
      <alignment horizontal="right" vertical="center" wrapText="1"/>
      <protection/>
    </xf>
    <xf numFmtId="0" fontId="131" fillId="0" borderId="79" xfId="0" applyFont="1" applyBorder="1" applyAlignment="1">
      <alignment vertical="top" wrapText="1"/>
    </xf>
    <xf numFmtId="0" fontId="131" fillId="0" borderId="79" xfId="61" applyFont="1" applyBorder="1" applyAlignment="1">
      <alignment vertical="center" wrapText="1"/>
    </xf>
    <xf numFmtId="164" fontId="29" fillId="0" borderId="69" xfId="96" applyNumberFormat="1" applyFont="1" applyBorder="1" applyAlignment="1">
      <alignment horizontal="center" vertical="center" wrapText="1"/>
      <protection/>
    </xf>
    <xf numFmtId="0" fontId="131" fillId="0" borderId="79" xfId="61" applyFont="1" applyBorder="1" applyAlignment="1">
      <alignment vertical="top" wrapText="1"/>
    </xf>
    <xf numFmtId="0" fontId="14" fillId="0" borderId="80" xfId="96" applyFont="1" applyBorder="1" applyAlignment="1">
      <alignment vertical="center"/>
      <protection/>
    </xf>
    <xf numFmtId="0" fontId="14" fillId="0" borderId="33" xfId="96" applyFont="1" applyBorder="1" applyAlignment="1">
      <alignment vertical="top"/>
      <protection/>
    </xf>
    <xf numFmtId="168" fontId="37" fillId="0" borderId="69" xfId="96" applyNumberFormat="1" applyFont="1" applyBorder="1" applyAlignment="1">
      <alignment horizontal="center" vertical="center" wrapText="1"/>
      <protection/>
    </xf>
    <xf numFmtId="0" fontId="41" fillId="0" borderId="33" xfId="96" applyFont="1" applyBorder="1" applyAlignment="1">
      <alignment vertical="center" wrapText="1"/>
      <protection/>
    </xf>
    <xf numFmtId="168" fontId="41" fillId="0" borderId="33" xfId="96" applyNumberFormat="1" applyFont="1" applyBorder="1" applyAlignment="1">
      <alignment horizontal="center" vertical="center" wrapText="1"/>
      <protection/>
    </xf>
    <xf numFmtId="168" fontId="19" fillId="0" borderId="69" xfId="96" applyNumberFormat="1" applyFont="1" applyBorder="1" applyAlignment="1">
      <alignment horizontal="center" vertical="center" wrapText="1"/>
      <protection/>
    </xf>
    <xf numFmtId="168" fontId="19" fillId="0" borderId="33" xfId="96" applyNumberFormat="1" applyFont="1" applyBorder="1" applyAlignment="1">
      <alignment horizontal="center" vertical="center" wrapText="1"/>
      <protection/>
    </xf>
    <xf numFmtId="164" fontId="19" fillId="0" borderId="33" xfId="96" applyNumberFormat="1" applyFont="1" applyBorder="1" applyAlignment="1">
      <alignment horizontal="center" vertical="center" wrapText="1"/>
      <protection/>
    </xf>
    <xf numFmtId="0" fontId="87" fillId="0" borderId="36" xfId="96" applyFont="1" applyBorder="1" applyAlignment="1">
      <alignment vertical="center" wrapText="1"/>
      <protection/>
    </xf>
    <xf numFmtId="168" fontId="42" fillId="0" borderId="61" xfId="96" applyNumberFormat="1" applyFont="1" applyBorder="1" applyAlignment="1">
      <alignment horizontal="center" vertical="center" wrapText="1"/>
      <protection/>
    </xf>
    <xf numFmtId="168" fontId="19" fillId="0" borderId="61" xfId="96" applyNumberFormat="1" applyFont="1" applyBorder="1" applyAlignment="1">
      <alignment horizontal="center" vertical="center" wrapText="1"/>
      <protection/>
    </xf>
    <xf numFmtId="168" fontId="19" fillId="0" borderId="36" xfId="96" applyNumberFormat="1" applyFont="1" applyBorder="1" applyAlignment="1">
      <alignment horizontal="center" vertical="center" wrapText="1"/>
      <protection/>
    </xf>
    <xf numFmtId="164" fontId="19" fillId="0" borderId="31" xfId="96" applyNumberFormat="1" applyFont="1" applyBorder="1" applyAlignment="1">
      <alignment horizontal="center" vertical="center" wrapText="1"/>
      <protection/>
    </xf>
    <xf numFmtId="168" fontId="14" fillId="0" borderId="0" xfId="45" applyFont="1" applyFill="1" applyBorder="1" applyAlignment="1" applyProtection="1">
      <alignment/>
      <protection/>
    </xf>
    <xf numFmtId="0" fontId="14" fillId="0" borderId="0" xfId="93" applyFont="1">
      <alignment/>
      <protection/>
    </xf>
    <xf numFmtId="0" fontId="19" fillId="0" borderId="0" xfId="93" applyFont="1" applyBorder="1" applyAlignment="1">
      <alignment horizontal="center"/>
      <protection/>
    </xf>
    <xf numFmtId="0" fontId="3" fillId="0" borderId="0" xfId="93" applyFont="1">
      <alignment/>
      <protection/>
    </xf>
    <xf numFmtId="0" fontId="3" fillId="0" borderId="0" xfId="93" applyFont="1" applyBorder="1" applyAlignment="1">
      <alignment horizontal="left"/>
      <protection/>
    </xf>
    <xf numFmtId="168" fontId="44" fillId="0" borderId="0" xfId="45" applyFont="1" applyFill="1" applyBorder="1" applyAlignment="1" applyProtection="1">
      <alignment horizontal="right" vertical="center"/>
      <protection/>
    </xf>
    <xf numFmtId="168" fontId="34" fillId="0" borderId="0" xfId="45" applyFont="1" applyFill="1" applyBorder="1" applyAlignment="1" applyProtection="1">
      <alignment horizontal="center" vertical="center"/>
      <protection/>
    </xf>
    <xf numFmtId="168" fontId="14" fillId="0" borderId="0" xfId="45" applyFont="1" applyFill="1" applyBorder="1" applyAlignment="1" applyProtection="1">
      <alignment horizontal="center"/>
      <protection/>
    </xf>
    <xf numFmtId="0" fontId="14" fillId="0" borderId="0" xfId="66" applyFont="1" applyAlignment="1">
      <alignment horizontal="center" vertical="center"/>
      <protection/>
    </xf>
    <xf numFmtId="168" fontId="34" fillId="0" borderId="0" xfId="45" applyFont="1" applyFill="1" applyBorder="1" applyAlignment="1" applyProtection="1">
      <alignment horizontal="center"/>
      <protection/>
    </xf>
    <xf numFmtId="168" fontId="31" fillId="0" borderId="0" xfId="45" applyFont="1" applyFill="1" applyBorder="1" applyAlignment="1" applyProtection="1">
      <alignment horizontal="center"/>
      <protection/>
    </xf>
    <xf numFmtId="168" fontId="6" fillId="0" borderId="28" xfId="45" applyFont="1" applyFill="1" applyBorder="1" applyAlignment="1" applyProtection="1">
      <alignment horizontal="center" vertical="center"/>
      <protection/>
    </xf>
    <xf numFmtId="168" fontId="6" fillId="0" borderId="32" xfId="45" applyFont="1" applyFill="1" applyBorder="1" applyAlignment="1" applyProtection="1">
      <alignment horizontal="center" vertical="center"/>
      <protection/>
    </xf>
    <xf numFmtId="168" fontId="3" fillId="0" borderId="28" xfId="45" applyFont="1" applyFill="1" applyBorder="1" applyAlignment="1" applyProtection="1">
      <alignment vertical="center"/>
      <protection/>
    </xf>
    <xf numFmtId="168" fontId="20" fillId="0" borderId="45" xfId="45" applyFont="1" applyFill="1" applyBorder="1" applyAlignment="1" applyProtection="1">
      <alignment horizontal="center" vertical="center"/>
      <protection/>
    </xf>
    <xf numFmtId="168" fontId="20" fillId="0" borderId="45" xfId="45" applyFont="1" applyFill="1" applyBorder="1" applyAlignment="1" applyProtection="1">
      <alignment horizontal="center" vertical="center" wrapText="1"/>
      <protection/>
    </xf>
    <xf numFmtId="0" fontId="34" fillId="0" borderId="54" xfId="93" applyFont="1" applyBorder="1" applyAlignment="1">
      <alignment horizontal="center" vertical="center" wrapText="1"/>
      <protection/>
    </xf>
    <xf numFmtId="165" fontId="35" fillId="40" borderId="45" xfId="45" applyNumberFormat="1" applyFont="1" applyFill="1" applyBorder="1" applyAlignment="1" applyProtection="1">
      <alignment vertical="top"/>
      <protection/>
    </xf>
    <xf numFmtId="165" fontId="35" fillId="40" borderId="11" xfId="45" applyNumberFormat="1" applyFont="1" applyFill="1" applyBorder="1" applyAlignment="1" applyProtection="1">
      <alignment vertical="top"/>
      <protection/>
    </xf>
    <xf numFmtId="165" fontId="35" fillId="40" borderId="44" xfId="45" applyNumberFormat="1" applyFont="1" applyFill="1" applyBorder="1" applyAlignment="1" applyProtection="1">
      <alignment vertical="top"/>
      <protection/>
    </xf>
    <xf numFmtId="49" fontId="35" fillId="40" borderId="45" xfId="45" applyNumberFormat="1" applyFont="1" applyFill="1" applyBorder="1" applyAlignment="1" applyProtection="1">
      <alignment horizontal="left" vertical="top" wrapText="1"/>
      <protection/>
    </xf>
    <xf numFmtId="4" fontId="35" fillId="40" borderId="45" xfId="45" applyNumberFormat="1" applyFont="1" applyFill="1" applyBorder="1" applyAlignment="1" applyProtection="1">
      <alignment horizontal="right" vertical="top"/>
      <protection/>
    </xf>
    <xf numFmtId="0" fontId="29" fillId="0" borderId="0" xfId="93" applyFont="1" applyAlignment="1">
      <alignment vertical="top"/>
      <protection/>
    </xf>
    <xf numFmtId="166" fontId="30" fillId="41" borderId="36" xfId="45" applyNumberFormat="1" applyFont="1" applyFill="1" applyBorder="1" applyAlignment="1" applyProtection="1">
      <alignment horizontal="left" vertical="top"/>
      <protection/>
    </xf>
    <xf numFmtId="168" fontId="29" fillId="41" borderId="44" xfId="45" applyFont="1" applyFill="1" applyBorder="1" applyAlignment="1" applyProtection="1">
      <alignment vertical="top"/>
      <protection/>
    </xf>
    <xf numFmtId="168" fontId="30" fillId="41" borderId="28" xfId="45" applyFont="1" applyFill="1" applyBorder="1" applyAlignment="1" applyProtection="1">
      <alignment horizontal="left" vertical="top" wrapText="1"/>
      <protection/>
    </xf>
    <xf numFmtId="4" fontId="30" fillId="41" borderId="45" xfId="45" applyNumberFormat="1" applyFont="1" applyFill="1" applyBorder="1" applyAlignment="1" applyProtection="1">
      <alignment horizontal="right" vertical="top"/>
      <protection/>
    </xf>
    <xf numFmtId="168" fontId="29" fillId="0" borderId="28" xfId="45" applyFont="1" applyFill="1" applyBorder="1" applyAlignment="1" applyProtection="1">
      <alignment vertical="top"/>
      <protection/>
    </xf>
    <xf numFmtId="169" fontId="30" fillId="0" borderId="44" xfId="45" applyNumberFormat="1" applyFont="1" applyFill="1" applyBorder="1" applyAlignment="1" applyProtection="1">
      <alignment horizontal="left" vertical="top"/>
      <protection/>
    </xf>
    <xf numFmtId="168" fontId="30" fillId="0" borderId="45" xfId="45" applyFont="1" applyFill="1" applyBorder="1" applyAlignment="1" applyProtection="1">
      <alignment horizontal="left" vertical="top" wrapText="1"/>
      <protection/>
    </xf>
    <xf numFmtId="4" fontId="30" fillId="0" borderId="45" xfId="45" applyNumberFormat="1" applyFont="1" applyFill="1" applyBorder="1" applyAlignment="1" applyProtection="1">
      <alignment horizontal="right" vertical="top"/>
      <protection/>
    </xf>
    <xf numFmtId="4" fontId="29" fillId="0" borderId="11" xfId="93" applyNumberFormat="1" applyFont="1" applyBorder="1" applyAlignment="1">
      <alignment vertical="top"/>
      <protection/>
    </xf>
    <xf numFmtId="168" fontId="14" fillId="0" borderId="28" xfId="45" applyFont="1" applyFill="1" applyBorder="1" applyAlignment="1" applyProtection="1">
      <alignment vertical="center"/>
      <protection/>
    </xf>
    <xf numFmtId="168" fontId="14" fillId="0" borderId="44" xfId="45" applyFont="1" applyFill="1" applyBorder="1" applyAlignment="1" applyProtection="1">
      <alignment vertical="center"/>
      <protection/>
    </xf>
    <xf numFmtId="168" fontId="20" fillId="0" borderId="45" xfId="45" applyFont="1" applyFill="1" applyBorder="1" applyAlignment="1" applyProtection="1">
      <alignment horizontal="right" vertical="center"/>
      <protection/>
    </xf>
    <xf numFmtId="4" fontId="20" fillId="0" borderId="45" xfId="45" applyNumberFormat="1" applyFont="1" applyFill="1" applyBorder="1" applyAlignment="1" applyProtection="1">
      <alignment horizontal="right" vertical="center"/>
      <protection/>
    </xf>
    <xf numFmtId="0" fontId="14" fillId="0" borderId="0" xfId="93" applyFont="1" applyAlignment="1">
      <alignment vertical="center"/>
      <protection/>
    </xf>
    <xf numFmtId="168" fontId="21" fillId="0" borderId="0" xfId="45" applyFont="1" applyFill="1" applyBorder="1" applyAlignment="1" applyProtection="1">
      <alignment horizontal="left" vertical="top"/>
      <protection/>
    </xf>
    <xf numFmtId="170" fontId="21" fillId="0" borderId="0" xfId="45" applyNumberFormat="1" applyFont="1" applyFill="1" applyBorder="1" applyAlignment="1" applyProtection="1">
      <alignment horizontal="left" vertical="top"/>
      <protection/>
    </xf>
    <xf numFmtId="4" fontId="14" fillId="0" borderId="0" xfId="45" applyNumberFormat="1" applyFont="1" applyFill="1" applyBorder="1" applyAlignment="1" applyProtection="1">
      <alignment/>
      <protection/>
    </xf>
    <xf numFmtId="4" fontId="20" fillId="0" borderId="45" xfId="45" applyNumberFormat="1" applyFont="1" applyFill="1" applyBorder="1" applyAlignment="1" applyProtection="1">
      <alignment horizontal="center" vertical="center" wrapText="1"/>
      <protection/>
    </xf>
    <xf numFmtId="165" fontId="35" fillId="40" borderId="28" xfId="45" applyNumberFormat="1" applyFont="1" applyFill="1" applyBorder="1" applyAlignment="1" applyProtection="1">
      <alignment horizontal="left" vertical="top"/>
      <protection/>
    </xf>
    <xf numFmtId="168" fontId="29" fillId="40" borderId="28" xfId="45" applyFont="1" applyFill="1" applyBorder="1" applyAlignment="1" applyProtection="1">
      <alignment vertical="top"/>
      <protection/>
    </xf>
    <xf numFmtId="168" fontId="29" fillId="40" borderId="44" xfId="45" applyFont="1" applyFill="1" applyBorder="1" applyAlignment="1" applyProtection="1">
      <alignment vertical="top"/>
      <protection/>
    </xf>
    <xf numFmtId="168" fontId="35" fillId="40" borderId="45" xfId="45" applyFont="1" applyFill="1" applyBorder="1" applyAlignment="1" applyProtection="1">
      <alignment horizontal="left" vertical="top"/>
      <protection/>
    </xf>
    <xf numFmtId="168" fontId="29" fillId="0" borderId="33" xfId="45" applyFont="1" applyFill="1" applyBorder="1" applyAlignment="1" applyProtection="1">
      <alignment vertical="top"/>
      <protection/>
    </xf>
    <xf numFmtId="166" fontId="30" fillId="41" borderId="28" xfId="45" applyNumberFormat="1" applyFont="1" applyFill="1" applyBorder="1" applyAlignment="1" applyProtection="1">
      <alignment horizontal="left" vertical="top"/>
      <protection/>
    </xf>
    <xf numFmtId="168" fontId="30" fillId="41" borderId="45" xfId="45" applyFont="1" applyFill="1" applyBorder="1" applyAlignment="1" applyProtection="1">
      <alignment horizontal="left" vertical="top"/>
      <protection/>
    </xf>
    <xf numFmtId="167" fontId="30" fillId="0" borderId="44" xfId="45" applyNumberFormat="1" applyFont="1" applyFill="1" applyBorder="1" applyAlignment="1" applyProtection="1">
      <alignment horizontal="left" vertical="top"/>
      <protection/>
    </xf>
    <xf numFmtId="168" fontId="30" fillId="0" borderId="45" xfId="45" applyFont="1" applyFill="1" applyBorder="1" applyAlignment="1" applyProtection="1">
      <alignment horizontal="left" vertical="top"/>
      <protection/>
    </xf>
    <xf numFmtId="167" fontId="30" fillId="0" borderId="50" xfId="45" applyNumberFormat="1" applyFont="1" applyFill="1" applyBorder="1" applyAlignment="1" applyProtection="1">
      <alignment horizontal="left" vertical="top"/>
      <protection/>
    </xf>
    <xf numFmtId="4" fontId="30" fillId="0" borderId="29" xfId="45" applyNumberFormat="1" applyFont="1" applyFill="1" applyBorder="1" applyAlignment="1" applyProtection="1">
      <alignment horizontal="right" vertical="top"/>
      <protection/>
    </xf>
    <xf numFmtId="168" fontId="29" fillId="0" borderId="75" xfId="45" applyFont="1" applyFill="1" applyBorder="1" applyAlignment="1" applyProtection="1">
      <alignment vertical="top"/>
      <protection/>
    </xf>
    <xf numFmtId="167" fontId="30" fillId="0" borderId="61" xfId="45" applyNumberFormat="1" applyFont="1" applyFill="1" applyBorder="1" applyAlignment="1" applyProtection="1">
      <alignment horizontal="left" vertical="top"/>
      <protection/>
    </xf>
    <xf numFmtId="168" fontId="30" fillId="0" borderId="56" xfId="45" applyFont="1" applyFill="1" applyBorder="1" applyAlignment="1" applyProtection="1">
      <alignment horizontal="left" vertical="top"/>
      <protection/>
    </xf>
    <xf numFmtId="4" fontId="30" fillId="0" borderId="56" xfId="45" applyNumberFormat="1" applyFont="1" applyFill="1" applyBorder="1" applyAlignment="1" applyProtection="1">
      <alignment horizontal="right" vertical="top"/>
      <protection/>
    </xf>
    <xf numFmtId="168" fontId="14" fillId="0" borderId="36" xfId="45" applyFont="1" applyFill="1" applyBorder="1" applyAlignment="1" applyProtection="1">
      <alignment vertical="center"/>
      <protection/>
    </xf>
    <xf numFmtId="168" fontId="14" fillId="0" borderId="81" xfId="45" applyFont="1" applyFill="1" applyBorder="1" applyAlignment="1" applyProtection="1">
      <alignment vertical="center"/>
      <protection/>
    </xf>
    <xf numFmtId="168" fontId="20" fillId="0" borderId="49" xfId="45" applyFont="1" applyFill="1" applyBorder="1" applyAlignment="1" applyProtection="1">
      <alignment horizontal="right" vertical="center"/>
      <protection/>
    </xf>
    <xf numFmtId="4" fontId="20" fillId="0" borderId="49" xfId="45" applyNumberFormat="1" applyFont="1" applyFill="1" applyBorder="1" applyAlignment="1" applyProtection="1">
      <alignment horizontal="right" vertical="center"/>
      <protection/>
    </xf>
    <xf numFmtId="0" fontId="45" fillId="0" borderId="0" xfId="98" applyFont="1" applyAlignment="1">
      <alignment/>
      <protection/>
    </xf>
    <xf numFmtId="0" fontId="5" fillId="0" borderId="0" xfId="98" applyFont="1" applyAlignment="1">
      <alignment vertical="top" wrapText="1"/>
      <protection/>
    </xf>
    <xf numFmtId="0" fontId="13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8" borderId="17" xfId="97" applyFont="1" applyFill="1" applyBorder="1" applyAlignment="1">
      <alignment horizontal="center" vertical="center" wrapText="1"/>
      <protection/>
    </xf>
    <xf numFmtId="0" fontId="8" fillId="38" borderId="18" xfId="97" applyFont="1" applyFill="1" applyBorder="1" applyAlignment="1">
      <alignment horizontal="left" vertical="center" wrapText="1"/>
      <protection/>
    </xf>
    <xf numFmtId="164" fontId="8" fillId="38" borderId="11" xfId="97" applyNumberFormat="1" applyFont="1" applyFill="1" applyBorder="1" applyAlignment="1">
      <alignment horizontal="right" vertical="center" wrapText="1"/>
      <protection/>
    </xf>
    <xf numFmtId="0" fontId="10" fillId="35" borderId="18" xfId="97" applyFont="1" applyFill="1" applyBorder="1" applyAlignment="1">
      <alignment horizontal="left" vertical="center" wrapText="1"/>
      <protection/>
    </xf>
    <xf numFmtId="0" fontId="10" fillId="0" borderId="18" xfId="97" applyFont="1" applyFill="1" applyBorder="1" applyAlignment="1">
      <alignment horizontal="left" vertical="center" wrapText="1"/>
      <protection/>
    </xf>
    <xf numFmtId="164" fontId="10" fillId="0" borderId="17" xfId="97" applyNumberFormat="1" applyFont="1" applyFill="1" applyBorder="1" applyAlignment="1">
      <alignment horizontal="right" vertical="center" wrapText="1"/>
      <protection/>
    </xf>
    <xf numFmtId="0" fontId="16" fillId="38" borderId="17" xfId="97" applyFont="1" applyFill="1" applyBorder="1" applyAlignment="1">
      <alignment horizontal="center" vertical="center" wrapText="1"/>
      <protection/>
    </xf>
    <xf numFmtId="0" fontId="8" fillId="38" borderId="17" xfId="97" applyFont="1" applyFill="1" applyBorder="1" applyAlignment="1">
      <alignment horizontal="left" vertical="center" wrapText="1"/>
      <protection/>
    </xf>
    <xf numFmtId="4" fontId="8" fillId="38" borderId="11" xfId="97" applyNumberFormat="1" applyFont="1" applyFill="1" applyBorder="1" applyAlignment="1">
      <alignment horizontal="right" vertical="center" wrapText="1"/>
      <protection/>
    </xf>
    <xf numFmtId="0" fontId="10" fillId="35" borderId="15" xfId="97" applyFont="1" applyFill="1" applyBorder="1" applyAlignment="1">
      <alignment horizontal="center" vertical="center" wrapText="1"/>
      <protection/>
    </xf>
    <xf numFmtId="0" fontId="10" fillId="35" borderId="15" xfId="97" applyFont="1" applyFill="1" applyBorder="1" applyAlignment="1">
      <alignment horizontal="left" vertical="center" wrapText="1"/>
      <protection/>
    </xf>
    <xf numFmtId="0" fontId="10" fillId="0" borderId="11" xfId="97" applyFont="1" applyBorder="1" applyAlignment="1">
      <alignment vertical="top" wrapText="1"/>
      <protection/>
    </xf>
    <xf numFmtId="4" fontId="10" fillId="0" borderId="11" xfId="9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133" fillId="0" borderId="11" xfId="0" applyFont="1" applyBorder="1" applyAlignment="1">
      <alignment horizontal="center" vertical="center"/>
    </xf>
    <xf numFmtId="0" fontId="133" fillId="0" borderId="11" xfId="0" applyFont="1" applyBorder="1" applyAlignment="1">
      <alignment vertical="center" wrapText="1"/>
    </xf>
    <xf numFmtId="4" fontId="134" fillId="0" borderId="11" xfId="0" applyNumberFormat="1" applyFont="1" applyBorder="1" applyAlignment="1">
      <alignment/>
    </xf>
    <xf numFmtId="4" fontId="133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132" fillId="0" borderId="0" xfId="0" applyFont="1" applyBorder="1" applyAlignment="1">
      <alignment horizontal="right" vertical="center"/>
    </xf>
    <xf numFmtId="4" fontId="46" fillId="0" borderId="0" xfId="0" applyNumberFormat="1" applyFont="1" applyBorder="1" applyAlignment="1">
      <alignment vertical="center"/>
    </xf>
    <xf numFmtId="0" fontId="134" fillId="0" borderId="0" xfId="0" applyFont="1" applyAlignment="1">
      <alignment/>
    </xf>
    <xf numFmtId="0" fontId="132" fillId="38" borderId="11" xfId="0" applyFont="1" applyFill="1" applyBorder="1" applyAlignment="1">
      <alignment vertical="top"/>
    </xf>
    <xf numFmtId="4" fontId="132" fillId="38" borderId="11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35" borderId="11" xfId="0" applyFill="1" applyBorder="1" applyAlignment="1">
      <alignment vertical="top"/>
    </xf>
    <xf numFmtId="4" fontId="0" fillId="35" borderId="11" xfId="0" applyNumberForma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/>
    </xf>
    <xf numFmtId="4" fontId="132" fillId="0" borderId="11" xfId="0" applyNumberFormat="1" applyFont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40" xfId="0" applyBorder="1" applyAlignment="1">
      <alignment vertical="top"/>
    </xf>
    <xf numFmtId="0" fontId="132" fillId="0" borderId="12" xfId="0" applyFont="1" applyBorder="1" applyAlignment="1">
      <alignment vertical="center"/>
    </xf>
    <xf numFmtId="4" fontId="132" fillId="0" borderId="11" xfId="0" applyNumberFormat="1" applyFont="1" applyBorder="1" applyAlignment="1">
      <alignment vertical="center"/>
    </xf>
    <xf numFmtId="0" fontId="2" fillId="0" borderId="0" xfId="92">
      <alignment/>
      <protection/>
    </xf>
    <xf numFmtId="0" fontId="3" fillId="0" borderId="0" xfId="94" applyFont="1" applyAlignment="1">
      <alignment/>
      <protection/>
    </xf>
    <xf numFmtId="0" fontId="23" fillId="0" borderId="0" xfId="92" applyFont="1" applyBorder="1" applyAlignment="1">
      <alignment horizontal="left" vertical="center" wrapText="1"/>
      <protection/>
    </xf>
    <xf numFmtId="0" fontId="27" fillId="0" borderId="14" xfId="92" applyFont="1" applyBorder="1" applyAlignment="1">
      <alignment vertical="center"/>
      <protection/>
    </xf>
    <xf numFmtId="0" fontId="27" fillId="0" borderId="14" xfId="92" applyFont="1" applyBorder="1" applyAlignment="1">
      <alignment horizontal="center" vertical="center"/>
      <protection/>
    </xf>
    <xf numFmtId="0" fontId="27" fillId="0" borderId="14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38" borderId="11" xfId="92" applyFont="1" applyFill="1" applyBorder="1" applyAlignment="1">
      <alignment horizontal="left" vertical="top"/>
      <protection/>
    </xf>
    <xf numFmtId="0" fontId="4" fillId="38" borderId="54" xfId="92" applyFont="1" applyFill="1" applyBorder="1" applyAlignment="1">
      <alignment horizontal="left" vertical="top"/>
      <protection/>
    </xf>
    <xf numFmtId="0" fontId="4" fillId="38" borderId="12" xfId="92" applyFont="1" applyFill="1" applyBorder="1" applyAlignment="1">
      <alignment horizontal="left" vertical="top"/>
      <protection/>
    </xf>
    <xf numFmtId="0" fontId="27" fillId="38" borderId="11" xfId="92" applyFont="1" applyFill="1" applyBorder="1" applyAlignment="1">
      <alignment horizontal="left" vertical="top" wrapText="1"/>
      <protection/>
    </xf>
    <xf numFmtId="4" fontId="27" fillId="38" borderId="11" xfId="92" applyNumberFormat="1" applyFont="1" applyFill="1" applyBorder="1" applyAlignment="1">
      <alignment horizontal="right" vertical="top"/>
      <protection/>
    </xf>
    <xf numFmtId="0" fontId="2" fillId="0" borderId="25" xfId="92" applyBorder="1">
      <alignment/>
      <protection/>
    </xf>
    <xf numFmtId="0" fontId="13" fillId="35" borderId="11" xfId="92" applyFont="1" applyFill="1" applyBorder="1" applyAlignment="1">
      <alignment horizontal="left" vertical="top"/>
      <protection/>
    </xf>
    <xf numFmtId="0" fontId="13" fillId="35" borderId="11" xfId="92" applyFont="1" applyFill="1" applyBorder="1" applyAlignment="1">
      <alignment horizontal="left" vertical="top" wrapText="1"/>
      <protection/>
    </xf>
    <xf numFmtId="4" fontId="13" fillId="35" borderId="11" xfId="92" applyNumberFormat="1" applyFont="1" applyFill="1" applyBorder="1" applyAlignment="1">
      <alignment horizontal="right" vertical="top" wrapText="1"/>
      <protection/>
    </xf>
    <xf numFmtId="0" fontId="2" fillId="0" borderId="17" xfId="92" applyBorder="1">
      <alignment/>
      <protection/>
    </xf>
    <xf numFmtId="0" fontId="2" fillId="0" borderId="18" xfId="92" applyBorder="1" applyAlignment="1">
      <alignment horizontal="left"/>
      <protection/>
    </xf>
    <xf numFmtId="0" fontId="13" fillId="0" borderId="11" xfId="92" applyFont="1" applyBorder="1" applyAlignment="1" quotePrefix="1">
      <alignment horizontal="left"/>
      <protection/>
    </xf>
    <xf numFmtId="0" fontId="13" fillId="0" borderId="11" xfId="92" applyFont="1" applyBorder="1" applyAlignment="1">
      <alignment horizontal="left" vertical="top" wrapText="1"/>
      <protection/>
    </xf>
    <xf numFmtId="4" fontId="13" fillId="0" borderId="11" xfId="92" applyNumberFormat="1" applyFont="1" applyBorder="1" applyAlignment="1">
      <alignment horizontal="right" vertical="top"/>
      <protection/>
    </xf>
    <xf numFmtId="0" fontId="2" fillId="0" borderId="11" xfId="92" applyBorder="1">
      <alignment/>
      <protection/>
    </xf>
    <xf numFmtId="4" fontId="2" fillId="0" borderId="11" xfId="92" applyNumberFormat="1" applyBorder="1">
      <alignment/>
      <protection/>
    </xf>
    <xf numFmtId="0" fontId="2" fillId="0" borderId="17" xfId="92" applyBorder="1" applyAlignment="1">
      <alignment horizontal="left"/>
      <protection/>
    </xf>
    <xf numFmtId="0" fontId="13" fillId="0" borderId="17" xfId="92" applyFont="1" applyBorder="1" applyAlignment="1" quotePrefix="1">
      <alignment horizontal="left"/>
      <protection/>
    </xf>
    <xf numFmtId="0" fontId="55" fillId="0" borderId="17" xfId="92" applyFont="1" applyBorder="1" applyAlignment="1">
      <alignment horizontal="right"/>
      <protection/>
    </xf>
    <xf numFmtId="4" fontId="55" fillId="0" borderId="17" xfId="92" applyNumberFormat="1" applyFont="1" applyBorder="1" applyAlignment="1">
      <alignment horizontal="right"/>
      <protection/>
    </xf>
    <xf numFmtId="0" fontId="31" fillId="0" borderId="0" xfId="92" applyFont="1" applyBorder="1" applyAlignment="1">
      <alignment horizontal="left" vertical="center"/>
      <protection/>
    </xf>
    <xf numFmtId="0" fontId="27" fillId="0" borderId="14" xfId="92" applyFont="1" applyBorder="1" applyAlignment="1">
      <alignment horizontal="left" vertical="center"/>
      <protection/>
    </xf>
    <xf numFmtId="0" fontId="4" fillId="38" borderId="11" xfId="92" applyFont="1" applyFill="1" applyBorder="1" applyAlignment="1">
      <alignment horizontal="left" vertical="top" wrapText="1"/>
      <protection/>
    </xf>
    <xf numFmtId="4" fontId="4" fillId="38" borderId="12" xfId="92" applyNumberFormat="1" applyFont="1" applyFill="1" applyBorder="1" applyAlignment="1">
      <alignment horizontal="right" vertical="top"/>
      <protection/>
    </xf>
    <xf numFmtId="0" fontId="2" fillId="0" borderId="14" xfId="92" applyBorder="1">
      <alignment/>
      <protection/>
    </xf>
    <xf numFmtId="0" fontId="27" fillId="35" borderId="11" xfId="92" applyFont="1" applyFill="1" applyBorder="1" applyAlignment="1">
      <alignment horizontal="left" vertical="top" wrapText="1"/>
      <protection/>
    </xf>
    <xf numFmtId="4" fontId="13" fillId="35" borderId="12" xfId="92" applyNumberFormat="1" applyFont="1" applyFill="1" applyBorder="1" applyAlignment="1">
      <alignment horizontal="right" vertical="top"/>
      <protection/>
    </xf>
    <xf numFmtId="0" fontId="2" fillId="0" borderId="15" xfId="92" applyBorder="1">
      <alignment/>
      <protection/>
    </xf>
    <xf numFmtId="0" fontId="13" fillId="0" borderId="14" xfId="92" applyFont="1" applyBorder="1" applyAlignment="1">
      <alignment horizontal="left"/>
      <protection/>
    </xf>
    <xf numFmtId="0" fontId="13" fillId="0" borderId="14" xfId="92" applyFont="1" applyBorder="1" applyAlignment="1">
      <alignment horizontal="left" vertical="top" wrapText="1"/>
      <protection/>
    </xf>
    <xf numFmtId="4" fontId="13" fillId="37" borderId="23" xfId="92" applyNumberFormat="1" applyFont="1" applyFill="1" applyBorder="1" applyAlignment="1">
      <alignment horizontal="right" vertical="top"/>
      <protection/>
    </xf>
    <xf numFmtId="0" fontId="13" fillId="37" borderId="14" xfId="92" applyFont="1" applyFill="1" applyBorder="1" applyAlignment="1">
      <alignment horizontal="left" vertical="top"/>
      <protection/>
    </xf>
    <xf numFmtId="4" fontId="13" fillId="0" borderId="11" xfId="92" applyNumberFormat="1" applyFont="1" applyBorder="1" applyAlignment="1">
      <alignment vertical="top"/>
      <protection/>
    </xf>
    <xf numFmtId="4" fontId="13" fillId="0" borderId="23" xfId="92" applyNumberFormat="1" applyFont="1" applyBorder="1" applyAlignment="1">
      <alignment horizontal="right" vertical="top"/>
      <protection/>
    </xf>
    <xf numFmtId="0" fontId="2" fillId="0" borderId="15" xfId="92" applyBorder="1" applyAlignment="1">
      <alignment horizontal="left"/>
      <protection/>
    </xf>
    <xf numFmtId="0" fontId="2" fillId="35" borderId="11" xfId="92" applyFill="1" applyBorder="1" applyAlignment="1">
      <alignment horizontal="left" vertical="top"/>
      <protection/>
    </xf>
    <xf numFmtId="0" fontId="2" fillId="0" borderId="14" xfId="92" applyBorder="1" applyAlignment="1">
      <alignment horizontal="left"/>
      <protection/>
    </xf>
    <xf numFmtId="0" fontId="13" fillId="0" borderId="11" xfId="92" applyFont="1" applyBorder="1" applyAlignment="1">
      <alignment horizontal="left"/>
      <protection/>
    </xf>
    <xf numFmtId="4" fontId="13" fillId="0" borderId="12" xfId="92" applyNumberFormat="1" applyFont="1" applyBorder="1" applyAlignment="1">
      <alignment horizontal="right" vertical="top"/>
      <protection/>
    </xf>
    <xf numFmtId="4" fontId="55" fillId="0" borderId="13" xfId="92" applyNumberFormat="1" applyFont="1" applyBorder="1" applyAlignment="1">
      <alignment horizontal="right"/>
      <protection/>
    </xf>
    <xf numFmtId="0" fontId="2" fillId="0" borderId="0" xfId="92" applyBorder="1">
      <alignment/>
      <protection/>
    </xf>
    <xf numFmtId="0" fontId="2" fillId="0" borderId="0" xfId="92" applyBorder="1" applyAlignment="1">
      <alignment horizontal="left"/>
      <protection/>
    </xf>
    <xf numFmtId="4" fontId="29" fillId="0" borderId="54" xfId="93" applyNumberFormat="1" applyFont="1" applyBorder="1" applyAlignment="1">
      <alignment vertical="top"/>
      <protection/>
    </xf>
    <xf numFmtId="4" fontId="11" fillId="0" borderId="13" xfId="97" applyNumberFormat="1" applyFont="1" applyBorder="1" applyAlignment="1">
      <alignment horizontal="right" vertical="top" wrapText="1"/>
      <protection/>
    </xf>
    <xf numFmtId="0" fontId="2" fillId="38" borderId="22" xfId="97" applyFont="1" applyFill="1" applyBorder="1" applyAlignment="1">
      <alignment vertical="center" wrapText="1"/>
      <protection/>
    </xf>
    <xf numFmtId="0" fontId="2" fillId="0" borderId="23" xfId="97" applyFont="1" applyBorder="1" applyAlignment="1">
      <alignment vertical="center" wrapText="1"/>
      <protection/>
    </xf>
    <xf numFmtId="0" fontId="2" fillId="0" borderId="16" xfId="97" applyFont="1" applyBorder="1" applyAlignment="1">
      <alignment vertical="center" wrapText="1"/>
      <protection/>
    </xf>
    <xf numFmtId="4" fontId="10" fillId="0" borderId="16" xfId="97" applyNumberFormat="1" applyFont="1" applyBorder="1" applyAlignment="1">
      <alignment vertical="center" wrapText="1"/>
      <protection/>
    </xf>
    <xf numFmtId="0" fontId="2" fillId="0" borderId="11" xfId="97" applyFont="1" applyBorder="1" applyAlignment="1">
      <alignment vertical="center" wrapText="1"/>
      <protection/>
    </xf>
    <xf numFmtId="4" fontId="10" fillId="35" borderId="12" xfId="97" applyNumberFormat="1" applyFont="1" applyFill="1" applyBorder="1" applyAlignment="1">
      <alignment horizontal="right" vertical="center" wrapText="1"/>
      <protection/>
    </xf>
    <xf numFmtId="4" fontId="10" fillId="0" borderId="11" xfId="97" applyNumberFormat="1" applyFont="1" applyBorder="1" applyAlignment="1">
      <alignment vertical="center" wrapText="1"/>
      <protection/>
    </xf>
    <xf numFmtId="4" fontId="11" fillId="0" borderId="11" xfId="97" applyNumberFormat="1" applyFont="1" applyBorder="1" applyAlignment="1">
      <alignment vertical="center" wrapText="1"/>
      <protection/>
    </xf>
    <xf numFmtId="4" fontId="11" fillId="0" borderId="16" xfId="97" applyNumberFormat="1" applyFont="1" applyBorder="1" applyAlignment="1">
      <alignment horizontal="right" vertical="center" wrapText="1"/>
      <protection/>
    </xf>
    <xf numFmtId="4" fontId="11" fillId="0" borderId="12" xfId="97" applyNumberFormat="1" applyFont="1" applyBorder="1" applyAlignment="1">
      <alignment horizontal="right" vertical="center" wrapText="1"/>
      <protection/>
    </xf>
    <xf numFmtId="4" fontId="11" fillId="0" borderId="11" xfId="97" applyNumberFormat="1" applyFont="1" applyBorder="1" applyAlignment="1">
      <alignment horizontal="right" vertical="center" wrapText="1"/>
      <protection/>
    </xf>
    <xf numFmtId="4" fontId="10" fillId="0" borderId="14" xfId="97" applyNumberFormat="1" applyFont="1" applyBorder="1" applyAlignment="1">
      <alignment vertical="center" wrapText="1"/>
      <protection/>
    </xf>
    <xf numFmtId="4" fontId="11" fillId="35" borderId="11" xfId="97" applyNumberFormat="1" applyFont="1" applyFill="1" applyBorder="1" applyAlignment="1">
      <alignment horizontal="right" vertical="center" wrapText="1"/>
      <protection/>
    </xf>
    <xf numFmtId="4" fontId="11" fillId="0" borderId="14" xfId="97" applyNumberFormat="1" applyFont="1" applyBorder="1" applyAlignment="1">
      <alignment horizontal="right" vertical="center" wrapText="1"/>
      <protection/>
    </xf>
    <xf numFmtId="4" fontId="4" fillId="0" borderId="21" xfId="97" applyNumberFormat="1" applyFont="1" applyBorder="1" applyAlignment="1">
      <alignment vertical="center" wrapText="1"/>
      <protection/>
    </xf>
    <xf numFmtId="0" fontId="135" fillId="0" borderId="11" xfId="54" applyFont="1" applyBorder="1" applyAlignment="1">
      <alignment horizontal="center" vertical="center" wrapText="1"/>
    </xf>
    <xf numFmtId="43" fontId="8" fillId="0" borderId="78" xfId="97" applyNumberFormat="1" applyFont="1" applyFill="1" applyBorder="1" applyAlignment="1">
      <alignment horizontal="center" vertical="center" wrapText="1"/>
      <protection/>
    </xf>
    <xf numFmtId="10" fontId="8" fillId="38" borderId="82" xfId="97" applyNumberFormat="1" applyFont="1" applyFill="1" applyBorder="1" applyAlignment="1">
      <alignment horizontal="right" vertical="center" wrapText="1"/>
      <protection/>
    </xf>
    <xf numFmtId="10" fontId="10" fillId="0" borderId="0" xfId="97" applyNumberFormat="1" applyFont="1" applyFill="1" applyBorder="1" applyAlignment="1">
      <alignment horizontal="right" vertical="center" wrapText="1"/>
      <protection/>
    </xf>
    <xf numFmtId="10" fontId="10" fillId="38" borderId="83" xfId="97" applyNumberFormat="1" applyFont="1" applyFill="1" applyBorder="1" applyAlignment="1">
      <alignment horizontal="right" vertical="center" wrapText="1"/>
      <protection/>
    </xf>
    <xf numFmtId="10" fontId="8" fillId="0" borderId="84" xfId="97" applyNumberFormat="1" applyFont="1" applyFill="1" applyBorder="1" applyAlignment="1">
      <alignment horizontal="right" vertical="center" wrapText="1"/>
      <protection/>
    </xf>
    <xf numFmtId="43" fontId="8" fillId="0" borderId="85" xfId="97" applyNumberFormat="1" applyFont="1" applyFill="1" applyBorder="1" applyAlignment="1">
      <alignment horizontal="center" vertical="center" wrapText="1"/>
      <protection/>
    </xf>
    <xf numFmtId="164" fontId="10" fillId="38" borderId="86" xfId="97" applyNumberFormat="1" applyFont="1" applyFill="1" applyBorder="1" applyAlignment="1">
      <alignment horizontal="right" vertical="center" wrapText="1"/>
      <protection/>
    </xf>
    <xf numFmtId="164" fontId="10" fillId="35" borderId="87" xfId="97" applyNumberFormat="1" applyFont="1" applyFill="1" applyBorder="1" applyAlignment="1">
      <alignment horizontal="right" vertical="center" wrapText="1"/>
      <protection/>
    </xf>
    <xf numFmtId="0" fontId="2" fillId="35" borderId="13" xfId="97" applyFont="1" applyFill="1" applyBorder="1" applyAlignment="1">
      <alignment vertical="center" wrapText="1"/>
      <protection/>
    </xf>
    <xf numFmtId="164" fontId="10" fillId="0" borderId="88" xfId="97" applyNumberFormat="1" applyFont="1" applyFill="1" applyBorder="1" applyAlignment="1">
      <alignment horizontal="right" vertical="center" wrapText="1"/>
      <protection/>
    </xf>
    <xf numFmtId="164" fontId="10" fillId="0" borderId="89" xfId="97" applyNumberFormat="1" applyFont="1" applyFill="1" applyBorder="1" applyAlignment="1">
      <alignment horizontal="right" vertical="center" wrapText="1"/>
      <protection/>
    </xf>
    <xf numFmtId="164" fontId="8" fillId="38" borderId="86" xfId="97" applyNumberFormat="1" applyFont="1" applyFill="1" applyBorder="1" applyAlignment="1">
      <alignment horizontal="right" vertical="center" wrapText="1"/>
      <protection/>
    </xf>
    <xf numFmtId="164" fontId="10" fillId="35" borderId="13" xfId="97" applyNumberFormat="1" applyFont="1" applyFill="1" applyBorder="1" applyAlignment="1">
      <alignment horizontal="right" vertical="center" wrapText="1"/>
      <protection/>
    </xf>
    <xf numFmtId="4" fontId="10" fillId="0" borderId="89" xfId="97" applyNumberFormat="1" applyFont="1" applyFill="1" applyBorder="1" applyAlignment="1">
      <alignment horizontal="right" vertical="center" wrapText="1"/>
      <protection/>
    </xf>
    <xf numFmtId="4" fontId="8" fillId="38" borderId="86" xfId="97" applyNumberFormat="1" applyFont="1" applyFill="1" applyBorder="1" applyAlignment="1">
      <alignment horizontal="right" vertical="center" wrapText="1"/>
      <protection/>
    </xf>
    <xf numFmtId="4" fontId="10" fillId="35" borderId="90" xfId="97" applyNumberFormat="1" applyFont="1" applyFill="1" applyBorder="1" applyAlignment="1">
      <alignment horizontal="right" vertical="center" wrapText="1"/>
      <protection/>
    </xf>
    <xf numFmtId="164" fontId="10" fillId="37" borderId="87" xfId="97" applyNumberFormat="1" applyFont="1" applyFill="1" applyBorder="1" applyAlignment="1">
      <alignment horizontal="right" vertical="center" wrapText="1"/>
      <protection/>
    </xf>
    <xf numFmtId="164" fontId="10" fillId="37" borderId="13" xfId="97" applyNumberFormat="1" applyFont="1" applyFill="1" applyBorder="1" applyAlignment="1">
      <alignment horizontal="right" vertical="center" wrapText="1"/>
      <protection/>
    </xf>
    <xf numFmtId="164" fontId="10" fillId="35" borderId="90" xfId="97" applyNumberFormat="1" applyFont="1" applyFill="1" applyBorder="1" applyAlignment="1">
      <alignment horizontal="right" vertical="center" wrapText="1"/>
      <protection/>
    </xf>
    <xf numFmtId="164" fontId="10" fillId="0" borderId="90" xfId="97" applyNumberFormat="1" applyFont="1" applyFill="1" applyBorder="1" applyAlignment="1">
      <alignment horizontal="right" vertical="center" wrapText="1"/>
      <protection/>
    </xf>
    <xf numFmtId="164" fontId="10" fillId="0" borderId="87" xfId="97" applyNumberFormat="1" applyFont="1" applyFill="1" applyBorder="1" applyAlignment="1">
      <alignment horizontal="right" vertical="center" wrapText="1"/>
      <protection/>
    </xf>
    <xf numFmtId="4" fontId="8" fillId="38" borderId="86" xfId="97" applyNumberFormat="1" applyFont="1" applyFill="1" applyBorder="1" applyAlignment="1">
      <alignment horizontal="right" vertical="center" wrapText="1"/>
      <protection/>
    </xf>
    <xf numFmtId="4" fontId="10" fillId="35" borderId="90" xfId="97" applyNumberFormat="1" applyFont="1" applyFill="1" applyBorder="1" applyAlignment="1">
      <alignment horizontal="right" vertical="center" wrapText="1"/>
      <protection/>
    </xf>
    <xf numFmtId="4" fontId="11" fillId="0" borderId="87" xfId="97" applyNumberFormat="1" applyFont="1" applyBorder="1" applyAlignment="1">
      <alignment horizontal="right" vertical="center" wrapText="1"/>
      <protection/>
    </xf>
    <xf numFmtId="4" fontId="11" fillId="0" borderId="87" xfId="97" applyNumberFormat="1" applyFont="1" applyBorder="1" applyAlignment="1">
      <alignment horizontal="right" vertical="center" wrapText="1"/>
      <protection/>
    </xf>
    <xf numFmtId="4" fontId="10" fillId="35" borderId="87" xfId="97" applyNumberFormat="1" applyFont="1" applyFill="1" applyBorder="1" applyAlignment="1">
      <alignment horizontal="right" vertical="center" wrapText="1"/>
      <protection/>
    </xf>
    <xf numFmtId="4" fontId="10" fillId="35" borderId="13" xfId="97" applyNumberFormat="1" applyFont="1" applyFill="1" applyBorder="1" applyAlignment="1">
      <alignment horizontal="right" vertical="center" wrapText="1"/>
      <protection/>
    </xf>
    <xf numFmtId="4" fontId="11" fillId="0" borderId="90" xfId="97" applyNumberFormat="1" applyFont="1" applyBorder="1" applyAlignment="1">
      <alignment horizontal="right" vertical="center" wrapText="1"/>
      <protection/>
    </xf>
    <xf numFmtId="4" fontId="10" fillId="0" borderId="90" xfId="97" applyNumberFormat="1" applyFont="1" applyBorder="1" applyAlignment="1">
      <alignment horizontal="right" vertical="center" wrapText="1"/>
      <protection/>
    </xf>
    <xf numFmtId="4" fontId="10" fillId="0" borderId="89" xfId="97" applyNumberFormat="1" applyFont="1" applyBorder="1" applyAlignment="1">
      <alignment horizontal="right" vertical="center" wrapText="1"/>
      <protection/>
    </xf>
    <xf numFmtId="4" fontId="10" fillId="0" borderId="88" xfId="97" applyNumberFormat="1" applyFont="1" applyBorder="1" applyAlignment="1">
      <alignment horizontal="right" vertical="center" wrapText="1"/>
      <protection/>
    </xf>
    <xf numFmtId="4" fontId="4" fillId="0" borderId="91" xfId="97" applyNumberFormat="1" applyFont="1" applyBorder="1" applyAlignment="1">
      <alignment vertical="center" wrapText="1"/>
      <protection/>
    </xf>
    <xf numFmtId="0" fontId="12" fillId="38" borderId="82" xfId="97" applyFont="1" applyFill="1" applyBorder="1" applyAlignment="1">
      <alignment vertical="top" wrapText="1"/>
      <protection/>
    </xf>
    <xf numFmtId="0" fontId="12" fillId="38" borderId="83" xfId="97" applyFont="1" applyFill="1" applyBorder="1" applyAlignment="1">
      <alignment vertical="top" wrapText="1"/>
      <protection/>
    </xf>
    <xf numFmtId="0" fontId="11" fillId="35" borderId="54" xfId="97" applyFont="1" applyFill="1" applyBorder="1" applyAlignment="1">
      <alignment vertical="top" wrapText="1"/>
      <protection/>
    </xf>
    <xf numFmtId="0" fontId="8" fillId="38" borderId="83" xfId="97" applyFont="1" applyFill="1" applyBorder="1" applyAlignment="1">
      <alignment horizontal="left" vertical="center" wrapText="1"/>
      <protection/>
    </xf>
    <xf numFmtId="0" fontId="10" fillId="35" borderId="40" xfId="97" applyFont="1" applyFill="1" applyBorder="1" applyAlignment="1">
      <alignment horizontal="left" vertical="center" wrapText="1"/>
      <protection/>
    </xf>
    <xf numFmtId="0" fontId="8" fillId="38" borderId="83" xfId="97" applyFont="1" applyFill="1" applyBorder="1" applyAlignment="1">
      <alignment vertical="center" wrapText="1"/>
      <protection/>
    </xf>
    <xf numFmtId="0" fontId="10" fillId="35" borderId="40" xfId="97" applyFont="1" applyFill="1" applyBorder="1" applyAlignment="1">
      <alignment vertical="top" wrapText="1"/>
      <protection/>
    </xf>
    <xf numFmtId="0" fontId="11" fillId="0" borderId="40" xfId="97" applyFont="1" applyBorder="1" applyAlignment="1">
      <alignment vertical="top" wrapText="1"/>
      <protection/>
    </xf>
    <xf numFmtId="0" fontId="8" fillId="38" borderId="82" xfId="97" applyFont="1" applyFill="1" applyBorder="1" applyAlignment="1">
      <alignment vertical="top" wrapText="1"/>
      <protection/>
    </xf>
    <xf numFmtId="0" fontId="11" fillId="0" borderId="67" xfId="97" applyFont="1" applyBorder="1" applyAlignment="1">
      <alignment vertical="top" wrapText="1"/>
      <protection/>
    </xf>
    <xf numFmtId="0" fontId="4" fillId="0" borderId="92" xfId="97" applyFont="1" applyBorder="1" applyAlignment="1">
      <alignment horizontal="right" vertical="center"/>
      <protection/>
    </xf>
    <xf numFmtId="4" fontId="10" fillId="35" borderId="12" xfId="97" applyNumberFormat="1" applyFont="1" applyFill="1" applyBorder="1" applyAlignment="1">
      <alignment horizontal="right" vertical="center" wrapText="1"/>
      <protection/>
    </xf>
    <xf numFmtId="4" fontId="10" fillId="0" borderId="93" xfId="97" applyNumberFormat="1" applyFont="1" applyFill="1" applyBorder="1" applyAlignment="1">
      <alignment horizontal="right" vertical="center" wrapText="1"/>
      <protection/>
    </xf>
    <xf numFmtId="4" fontId="10" fillId="35" borderId="94" xfId="97" applyNumberFormat="1" applyFont="1" applyFill="1" applyBorder="1" applyAlignment="1">
      <alignment horizontal="right" vertical="center" wrapText="1"/>
      <protection/>
    </xf>
    <xf numFmtId="4" fontId="10" fillId="0" borderId="95" xfId="97" applyNumberFormat="1" applyFont="1" applyBorder="1" applyAlignment="1">
      <alignment vertical="center" wrapText="1"/>
      <protection/>
    </xf>
    <xf numFmtId="0" fontId="11" fillId="35" borderId="18" xfId="97" applyFont="1" applyFill="1" applyBorder="1" applyAlignment="1">
      <alignment vertical="top" wrapText="1"/>
      <protection/>
    </xf>
    <xf numFmtId="0" fontId="10" fillId="37" borderId="18" xfId="97" applyFont="1" applyFill="1" applyBorder="1" applyAlignment="1">
      <alignment horizontal="left" vertical="center" wrapText="1"/>
      <protection/>
    </xf>
    <xf numFmtId="0" fontId="10" fillId="35" borderId="18" xfId="97" applyFont="1" applyFill="1" applyBorder="1" applyAlignment="1">
      <alignment vertical="top" wrapText="1"/>
      <protection/>
    </xf>
    <xf numFmtId="43" fontId="8" fillId="0" borderId="96" xfId="97" applyNumberFormat="1" applyFont="1" applyFill="1" applyBorder="1" applyAlignment="1">
      <alignment horizontal="center" vertical="center" wrapText="1"/>
      <protection/>
    </xf>
    <xf numFmtId="10" fontId="10" fillId="38" borderId="97" xfId="97" applyNumberFormat="1" applyFont="1" applyFill="1" applyBorder="1" applyAlignment="1">
      <alignment vertical="center" wrapText="1"/>
      <protection/>
    </xf>
    <xf numFmtId="10" fontId="10" fillId="35" borderId="18" xfId="97" applyNumberFormat="1" applyFont="1" applyFill="1" applyBorder="1" applyAlignment="1">
      <alignment horizontal="right" vertical="center" wrapText="1"/>
      <protection/>
    </xf>
    <xf numFmtId="10" fontId="10" fillId="35" borderId="98" xfId="97" applyNumberFormat="1" applyFont="1" applyFill="1" applyBorder="1" applyAlignment="1">
      <alignment vertical="center" wrapText="1"/>
      <protection/>
    </xf>
    <xf numFmtId="10" fontId="10" fillId="0" borderId="18" xfId="97" applyNumberFormat="1" applyFont="1" applyFill="1" applyBorder="1" applyAlignment="1">
      <alignment horizontal="right" vertical="center" wrapText="1"/>
      <protection/>
    </xf>
    <xf numFmtId="10" fontId="10" fillId="0" borderId="99" xfId="97" applyNumberFormat="1" applyFont="1" applyBorder="1" applyAlignment="1">
      <alignment vertical="center" wrapText="1"/>
      <protection/>
    </xf>
    <xf numFmtId="10" fontId="10" fillId="0" borderId="100" xfId="97" applyNumberFormat="1" applyFont="1" applyBorder="1" applyAlignment="1">
      <alignment vertical="center" wrapText="1"/>
      <protection/>
    </xf>
    <xf numFmtId="10" fontId="8" fillId="38" borderId="101" xfId="97" applyNumberFormat="1" applyFont="1" applyFill="1" applyBorder="1" applyAlignment="1">
      <alignment horizontal="right" vertical="center" wrapText="1"/>
      <protection/>
    </xf>
    <xf numFmtId="10" fontId="10" fillId="35" borderId="98" xfId="97" applyNumberFormat="1" applyFont="1" applyFill="1" applyBorder="1" applyAlignment="1">
      <alignment horizontal="right" vertical="center" wrapText="1"/>
      <protection/>
    </xf>
    <xf numFmtId="10" fontId="8" fillId="38" borderId="97" xfId="97" applyNumberFormat="1" applyFont="1" applyFill="1" applyBorder="1" applyAlignment="1">
      <alignment horizontal="right" vertical="center" wrapText="1"/>
      <protection/>
    </xf>
    <xf numFmtId="10" fontId="10" fillId="35" borderId="102" xfId="97" applyNumberFormat="1" applyFont="1" applyFill="1" applyBorder="1" applyAlignment="1">
      <alignment horizontal="right" vertical="center" wrapText="1"/>
      <protection/>
    </xf>
    <xf numFmtId="164" fontId="8" fillId="38" borderId="86" xfId="97" applyNumberFormat="1" applyFont="1" applyFill="1" applyBorder="1" applyAlignment="1">
      <alignment horizontal="right" vertical="center" wrapText="1"/>
      <protection/>
    </xf>
    <xf numFmtId="10" fontId="10" fillId="37" borderId="98" xfId="97" applyNumberFormat="1" applyFont="1" applyFill="1" applyBorder="1" applyAlignment="1">
      <alignment horizontal="right" vertical="center" wrapText="1"/>
      <protection/>
    </xf>
    <xf numFmtId="10" fontId="10" fillId="35" borderId="103" xfId="97" applyNumberFormat="1" applyFont="1" applyFill="1" applyBorder="1" applyAlignment="1">
      <alignment horizontal="right" vertical="center" wrapText="1"/>
      <protection/>
    </xf>
    <xf numFmtId="10" fontId="2" fillId="0" borderId="102" xfId="97" applyNumberFormat="1" applyFont="1" applyBorder="1" applyAlignment="1">
      <alignment vertical="center" wrapText="1"/>
      <protection/>
    </xf>
    <xf numFmtId="10" fontId="10" fillId="0" borderId="98" xfId="97" applyNumberFormat="1" applyFont="1" applyFill="1" applyBorder="1" applyAlignment="1">
      <alignment horizontal="right" vertical="center" wrapText="1"/>
      <protection/>
    </xf>
    <xf numFmtId="10" fontId="10" fillId="0" borderId="104" xfId="97" applyNumberFormat="1" applyFont="1" applyBorder="1" applyAlignment="1">
      <alignment vertical="center" wrapText="1"/>
      <protection/>
    </xf>
    <xf numFmtId="10" fontId="8" fillId="38" borderId="101" xfId="97" applyNumberFormat="1" applyFont="1" applyFill="1" applyBorder="1" applyAlignment="1">
      <alignment horizontal="right" vertical="center" wrapText="1"/>
      <protection/>
    </xf>
    <xf numFmtId="10" fontId="10" fillId="35" borderId="103" xfId="97" applyNumberFormat="1" applyFont="1" applyFill="1" applyBorder="1" applyAlignment="1">
      <alignment horizontal="right" vertical="center" wrapText="1"/>
      <protection/>
    </xf>
    <xf numFmtId="4" fontId="11" fillId="0" borderId="13" xfId="97" applyNumberFormat="1" applyFont="1" applyBorder="1" applyAlignment="1">
      <alignment horizontal="right" vertical="center" wrapText="1"/>
      <protection/>
    </xf>
    <xf numFmtId="10" fontId="10" fillId="0" borderId="102" xfId="97" applyNumberFormat="1" applyFont="1" applyBorder="1" applyAlignment="1">
      <alignment vertical="center" wrapText="1"/>
      <protection/>
    </xf>
    <xf numFmtId="4" fontId="10" fillId="35" borderId="87" xfId="108" applyNumberFormat="1" applyFont="1" applyFill="1" applyBorder="1" applyAlignment="1">
      <alignment horizontal="right" vertical="center" wrapText="1"/>
    </xf>
    <xf numFmtId="4" fontId="10" fillId="35" borderId="13" xfId="108" applyNumberFormat="1" applyFont="1" applyFill="1" applyBorder="1" applyAlignment="1">
      <alignment horizontal="right" vertical="center" wrapText="1"/>
    </xf>
    <xf numFmtId="10" fontId="10" fillId="35" borderId="98" xfId="97" applyNumberFormat="1" applyFont="1" applyFill="1" applyBorder="1" applyAlignment="1">
      <alignment horizontal="right" vertical="center" wrapText="1"/>
      <protection/>
    </xf>
    <xf numFmtId="4" fontId="11" fillId="0" borderId="89" xfId="97" applyNumberFormat="1" applyFont="1" applyBorder="1" applyAlignment="1">
      <alignment horizontal="right" vertical="center" wrapText="1"/>
      <protection/>
    </xf>
    <xf numFmtId="4" fontId="11" fillId="35" borderId="90" xfId="97" applyNumberFormat="1" applyFont="1" applyFill="1" applyBorder="1" applyAlignment="1">
      <alignment horizontal="right" vertical="center" wrapText="1"/>
      <protection/>
    </xf>
    <xf numFmtId="4" fontId="11" fillId="0" borderId="88" xfId="97" applyNumberFormat="1" applyFont="1" applyBorder="1" applyAlignment="1">
      <alignment horizontal="right" vertical="center" wrapText="1"/>
      <protection/>
    </xf>
    <xf numFmtId="10" fontId="4" fillId="0" borderId="105" xfId="97" applyNumberFormat="1" applyFont="1" applyBorder="1" applyAlignment="1">
      <alignment vertical="center" wrapText="1"/>
      <protection/>
    </xf>
    <xf numFmtId="0" fontId="10" fillId="35" borderId="11" xfId="97" applyFont="1" applyFill="1" applyBorder="1" applyAlignment="1" quotePrefix="1">
      <alignment horizontal="center" vertical="center" wrapText="1"/>
      <protection/>
    </xf>
    <xf numFmtId="10" fontId="8" fillId="38" borderId="11" xfId="97" applyNumberFormat="1" applyFont="1" applyFill="1" applyBorder="1" applyAlignment="1">
      <alignment horizontal="right" vertical="center" wrapText="1"/>
      <protection/>
    </xf>
    <xf numFmtId="0" fontId="10" fillId="38" borderId="11" xfId="97" applyFont="1" applyFill="1" applyBorder="1" applyAlignment="1">
      <alignment horizontal="center" vertical="center" wrapText="1"/>
      <protection/>
    </xf>
    <xf numFmtId="4" fontId="8" fillId="38" borderId="11" xfId="97" applyNumberFormat="1" applyFont="1" applyFill="1" applyBorder="1" applyAlignment="1">
      <alignment horizontal="right" vertical="center" wrapText="1"/>
      <protection/>
    </xf>
    <xf numFmtId="10" fontId="8" fillId="38" borderId="11" xfId="97" applyNumberFormat="1" applyFont="1" applyFill="1" applyBorder="1" applyAlignment="1">
      <alignment horizontal="right" vertical="center" wrapText="1"/>
      <protection/>
    </xf>
    <xf numFmtId="0" fontId="10" fillId="0" borderId="16" xfId="97" applyFont="1" applyFill="1" applyBorder="1" applyAlignment="1" quotePrefix="1">
      <alignment horizontal="center" vertical="center" wrapText="1"/>
      <protection/>
    </xf>
    <xf numFmtId="4" fontId="10" fillId="37" borderId="14" xfId="97" applyNumberFormat="1" applyFont="1" applyFill="1" applyBorder="1" applyAlignment="1">
      <alignment horizontal="right" vertical="center" wrapText="1"/>
      <protection/>
    </xf>
    <xf numFmtId="10" fontId="10" fillId="37" borderId="14" xfId="97" applyNumberFormat="1" applyFont="1" applyFill="1" applyBorder="1" applyAlignment="1">
      <alignment horizontal="right" vertical="center" wrapText="1"/>
      <protection/>
    </xf>
    <xf numFmtId="4" fontId="10" fillId="37" borderId="17" xfId="97" applyNumberFormat="1" applyFont="1" applyFill="1" applyBorder="1" applyAlignment="1">
      <alignment horizontal="right" vertical="center" wrapText="1"/>
      <protection/>
    </xf>
    <xf numFmtId="10" fontId="10" fillId="37" borderId="17" xfId="97" applyNumberFormat="1" applyFont="1" applyFill="1" applyBorder="1" applyAlignment="1">
      <alignment horizontal="right" vertical="center" wrapText="1"/>
      <protection/>
    </xf>
    <xf numFmtId="0" fontId="10" fillId="0" borderId="14" xfId="97" applyFont="1" applyBorder="1" applyAlignment="1">
      <alignment horizontal="center" vertical="center" wrapText="1"/>
      <protection/>
    </xf>
    <xf numFmtId="0" fontId="10" fillId="0" borderId="25" xfId="97" applyFont="1" applyBorder="1" applyAlignment="1">
      <alignment horizontal="center" vertical="center" wrapText="1"/>
      <protection/>
    </xf>
    <xf numFmtId="0" fontId="10" fillId="37" borderId="13" xfId="97" applyFont="1" applyFill="1" applyBorder="1" applyAlignment="1" quotePrefix="1">
      <alignment horizontal="center" vertical="center" wrapText="1"/>
      <protection/>
    </xf>
    <xf numFmtId="0" fontId="10" fillId="37" borderId="11" xfId="97" applyFont="1" applyFill="1" applyBorder="1" applyAlignment="1" quotePrefix="1">
      <alignment horizontal="center" vertical="center" wrapText="1"/>
      <protection/>
    </xf>
    <xf numFmtId="0" fontId="10" fillId="0" borderId="14" xfId="97" applyFont="1" applyBorder="1" applyAlignment="1" quotePrefix="1">
      <alignment horizontal="center" vertical="center" wrapText="1"/>
      <protection/>
    </xf>
    <xf numFmtId="0" fontId="8" fillId="0" borderId="16" xfId="97" applyFont="1" applyFill="1" applyBorder="1" applyAlignment="1">
      <alignment horizontal="center" vertical="center" wrapText="1"/>
      <protection/>
    </xf>
    <xf numFmtId="4" fontId="10" fillId="37" borderId="16" xfId="97" applyNumberFormat="1" applyFont="1" applyFill="1" applyBorder="1" applyAlignment="1">
      <alignment horizontal="right" vertical="center" wrapText="1"/>
      <protection/>
    </xf>
    <xf numFmtId="10" fontId="10" fillId="37" borderId="16" xfId="97" applyNumberFormat="1" applyFont="1" applyFill="1" applyBorder="1" applyAlignment="1">
      <alignment horizontal="right" vertical="center" wrapText="1"/>
      <protection/>
    </xf>
    <xf numFmtId="0" fontId="8" fillId="34" borderId="18" xfId="97" applyFont="1" applyFill="1" applyBorder="1" applyAlignment="1">
      <alignment vertical="top" wrapText="1"/>
      <protection/>
    </xf>
    <xf numFmtId="0" fontId="11" fillId="0" borderId="54" xfId="97" applyFont="1" applyBorder="1" applyAlignment="1">
      <alignment vertical="top" wrapText="1"/>
      <protection/>
    </xf>
    <xf numFmtId="0" fontId="10" fillId="35" borderId="18" xfId="97" applyFont="1" applyFill="1" applyBorder="1" applyAlignment="1">
      <alignment vertical="top" wrapText="1"/>
      <protection/>
    </xf>
    <xf numFmtId="0" fontId="10" fillId="35" borderId="40" xfId="97" applyFont="1" applyFill="1" applyBorder="1" applyAlignment="1">
      <alignment vertical="top" wrapText="1"/>
      <protection/>
    </xf>
    <xf numFmtId="0" fontId="8" fillId="36" borderId="54" xfId="97" applyFont="1" applyFill="1" applyBorder="1" applyAlignment="1">
      <alignment vertical="top" wrapText="1"/>
      <protection/>
    </xf>
    <xf numFmtId="0" fontId="10" fillId="35" borderId="54" xfId="97" applyFont="1" applyFill="1" applyBorder="1" applyAlignment="1">
      <alignment vertical="top" wrapText="1"/>
      <protection/>
    </xf>
    <xf numFmtId="0" fontId="11" fillId="0" borderId="106" xfId="97" applyFont="1" applyBorder="1" applyAlignment="1">
      <alignment vertical="top" wrapText="1"/>
      <protection/>
    </xf>
    <xf numFmtId="0" fontId="4" fillId="0" borderId="78" xfId="97" applyFont="1" applyBorder="1" applyAlignment="1">
      <alignment horizontal="right" vertical="center"/>
      <protection/>
    </xf>
    <xf numFmtId="4" fontId="10" fillId="35" borderId="13" xfId="97" applyNumberFormat="1" applyFont="1" applyFill="1" applyBorder="1" applyAlignment="1">
      <alignment horizontal="right" vertical="top" wrapText="1"/>
      <protection/>
    </xf>
    <xf numFmtId="4" fontId="11" fillId="35" borderId="13" xfId="97" applyNumberFormat="1" applyFont="1" applyFill="1" applyBorder="1" applyAlignment="1">
      <alignment horizontal="right" vertical="top" wrapText="1"/>
      <protection/>
    </xf>
    <xf numFmtId="43" fontId="8" fillId="0" borderId="107" xfId="97" applyNumberFormat="1" applyFont="1" applyFill="1" applyBorder="1" applyAlignment="1">
      <alignment horizontal="center" vertical="center" wrapText="1"/>
      <protection/>
    </xf>
    <xf numFmtId="4" fontId="8" fillId="34" borderId="87" xfId="97" applyNumberFormat="1" applyFont="1" applyFill="1" applyBorder="1" applyAlignment="1">
      <alignment horizontal="right" vertical="top" wrapText="1"/>
      <protection/>
    </xf>
    <xf numFmtId="10" fontId="8" fillId="34" borderId="105" xfId="97" applyNumberFormat="1" applyFont="1" applyFill="1" applyBorder="1" applyAlignment="1">
      <alignment horizontal="right" vertical="top" wrapText="1"/>
      <protection/>
    </xf>
    <xf numFmtId="4" fontId="10" fillId="35" borderId="87" xfId="97" applyNumberFormat="1" applyFont="1" applyFill="1" applyBorder="1" applyAlignment="1">
      <alignment horizontal="right" vertical="top" wrapText="1"/>
      <protection/>
    </xf>
    <xf numFmtId="10" fontId="10" fillId="35" borderId="98" xfId="97" applyNumberFormat="1" applyFont="1" applyFill="1" applyBorder="1" applyAlignment="1">
      <alignment horizontal="right" vertical="top" wrapText="1"/>
      <protection/>
    </xf>
    <xf numFmtId="4" fontId="11" fillId="0" borderId="87" xfId="97" applyNumberFormat="1" applyFont="1" applyBorder="1" applyAlignment="1">
      <alignment horizontal="right" vertical="top" wrapText="1"/>
      <protection/>
    </xf>
    <xf numFmtId="10" fontId="2" fillId="0" borderId="102" xfId="97" applyNumberFormat="1" applyBorder="1">
      <alignment/>
      <protection/>
    </xf>
    <xf numFmtId="4" fontId="11" fillId="0" borderId="89" xfId="97" applyNumberFormat="1" applyFont="1" applyBorder="1" applyAlignment="1">
      <alignment horizontal="right" vertical="top" wrapText="1"/>
      <protection/>
    </xf>
    <xf numFmtId="10" fontId="11" fillId="0" borderId="102" xfId="97" applyNumberFormat="1" applyFont="1" applyBorder="1" applyAlignment="1">
      <alignment vertical="top"/>
      <protection/>
    </xf>
    <xf numFmtId="4" fontId="10" fillId="0" borderId="13" xfId="97" applyNumberFormat="1" applyFont="1" applyBorder="1" applyAlignment="1">
      <alignment vertical="top"/>
      <protection/>
    </xf>
    <xf numFmtId="10" fontId="8" fillId="34" borderId="98" xfId="97" applyNumberFormat="1" applyFont="1" applyFill="1" applyBorder="1" applyAlignment="1">
      <alignment horizontal="right" vertical="top" wrapText="1"/>
      <protection/>
    </xf>
    <xf numFmtId="4" fontId="11" fillId="0" borderId="13" xfId="97" applyNumberFormat="1" applyFont="1" applyBorder="1" applyAlignment="1">
      <alignment vertical="top"/>
      <protection/>
    </xf>
    <xf numFmtId="4" fontId="10" fillId="0" borderId="87" xfId="97" applyNumberFormat="1" applyFont="1" applyBorder="1" applyAlignment="1">
      <alignment horizontal="right" vertical="top" wrapText="1"/>
      <protection/>
    </xf>
    <xf numFmtId="4" fontId="10" fillId="0" borderId="13" xfId="97" applyNumberFormat="1" applyFont="1" applyBorder="1" applyAlignment="1">
      <alignment horizontal="right" vertical="top" wrapText="1"/>
      <protection/>
    </xf>
    <xf numFmtId="4" fontId="10" fillId="35" borderId="90" xfId="97" applyNumberFormat="1" applyFont="1" applyFill="1" applyBorder="1" applyAlignment="1">
      <alignment horizontal="right" vertical="top" wrapText="1"/>
      <protection/>
    </xf>
    <xf numFmtId="10" fontId="10" fillId="35" borderId="103" xfId="97" applyNumberFormat="1" applyFont="1" applyFill="1" applyBorder="1" applyAlignment="1">
      <alignment horizontal="right" vertical="top" wrapText="1"/>
      <protection/>
    </xf>
    <xf numFmtId="4" fontId="10" fillId="0" borderId="89" xfId="97" applyNumberFormat="1" applyFont="1" applyBorder="1" applyAlignment="1">
      <alignment horizontal="right" vertical="top" wrapText="1"/>
      <protection/>
    </xf>
    <xf numFmtId="4" fontId="8" fillId="36" borderId="90" xfId="97" applyNumberFormat="1" applyFont="1" applyFill="1" applyBorder="1" applyAlignment="1">
      <alignment horizontal="right" vertical="top" wrapText="1"/>
      <protection/>
    </xf>
    <xf numFmtId="10" fontId="12" fillId="36" borderId="102" xfId="97" applyNumberFormat="1" applyFont="1" applyFill="1" applyBorder="1" applyAlignment="1">
      <alignment horizontal="right" vertical="top" wrapText="1"/>
      <protection/>
    </xf>
    <xf numFmtId="10" fontId="11" fillId="0" borderId="98" xfId="97" applyNumberFormat="1" applyFont="1" applyBorder="1" applyAlignment="1">
      <alignment vertical="top"/>
      <protection/>
    </xf>
    <xf numFmtId="10" fontId="13" fillId="0" borderId="102" xfId="97" applyNumberFormat="1" applyFont="1" applyBorder="1" applyAlignment="1">
      <alignment vertical="top"/>
      <protection/>
    </xf>
    <xf numFmtId="4" fontId="11" fillId="0" borderId="90" xfId="97" applyNumberFormat="1" applyFont="1" applyBorder="1" applyAlignment="1">
      <alignment horizontal="right" vertical="top" wrapText="1"/>
      <protection/>
    </xf>
    <xf numFmtId="4" fontId="11" fillId="35" borderId="90" xfId="97" applyNumberFormat="1" applyFont="1" applyFill="1" applyBorder="1" applyAlignment="1">
      <alignment horizontal="right" vertical="top" wrapText="1"/>
      <protection/>
    </xf>
    <xf numFmtId="10" fontId="11" fillId="35" borderId="102" xfId="97" applyNumberFormat="1" applyFont="1" applyFill="1" applyBorder="1" applyAlignment="1">
      <alignment horizontal="right" vertical="top" wrapText="1"/>
      <protection/>
    </xf>
    <xf numFmtId="10" fontId="11" fillId="0" borderId="102" xfId="97" applyNumberFormat="1" applyFont="1" applyBorder="1" applyAlignment="1">
      <alignment vertical="center"/>
      <protection/>
    </xf>
    <xf numFmtId="4" fontId="8" fillId="34" borderId="90" xfId="97" applyNumberFormat="1" applyFont="1" applyFill="1" applyBorder="1" applyAlignment="1">
      <alignment horizontal="right" vertical="top" wrapText="1"/>
      <protection/>
    </xf>
    <xf numFmtId="10" fontId="8" fillId="34" borderId="102" xfId="97" applyNumberFormat="1" applyFont="1" applyFill="1" applyBorder="1" applyAlignment="1">
      <alignment horizontal="right" vertical="top" wrapText="1"/>
      <protection/>
    </xf>
    <xf numFmtId="10" fontId="11" fillId="35" borderId="98" xfId="97" applyNumberFormat="1" applyFont="1" applyFill="1" applyBorder="1" applyAlignment="1">
      <alignment horizontal="right" vertical="top" wrapText="1"/>
      <protection/>
    </xf>
    <xf numFmtId="4" fontId="10" fillId="37" borderId="89" xfId="97" applyNumberFormat="1" applyFont="1" applyFill="1" applyBorder="1" applyAlignment="1">
      <alignment horizontal="right" vertical="top" wrapText="1"/>
      <protection/>
    </xf>
    <xf numFmtId="10" fontId="2" fillId="0" borderId="104" xfId="97" applyNumberFormat="1" applyBorder="1">
      <alignment/>
      <protection/>
    </xf>
    <xf numFmtId="4" fontId="10" fillId="37" borderId="87" xfId="97" applyNumberFormat="1" applyFont="1" applyFill="1" applyBorder="1" applyAlignment="1">
      <alignment horizontal="right" vertical="top" wrapText="1"/>
      <protection/>
    </xf>
    <xf numFmtId="4" fontId="10" fillId="37" borderId="13" xfId="97" applyNumberFormat="1" applyFont="1" applyFill="1" applyBorder="1" applyAlignment="1">
      <alignment horizontal="right" vertical="top" wrapText="1"/>
      <protection/>
    </xf>
    <xf numFmtId="4" fontId="8" fillId="37" borderId="13" xfId="97" applyNumberFormat="1" applyFont="1" applyFill="1" applyBorder="1" applyAlignment="1">
      <alignment horizontal="right" vertical="top" wrapText="1"/>
      <protection/>
    </xf>
    <xf numFmtId="10" fontId="2" fillId="0" borderId="108" xfId="97" applyNumberFormat="1" applyBorder="1">
      <alignment/>
      <protection/>
    </xf>
    <xf numFmtId="4" fontId="8" fillId="37" borderId="87" xfId="97" applyNumberFormat="1" applyFont="1" applyFill="1" applyBorder="1" applyAlignment="1">
      <alignment horizontal="right" vertical="top" wrapText="1"/>
      <protection/>
    </xf>
    <xf numFmtId="4" fontId="10" fillId="35" borderId="87" xfId="108" applyNumberFormat="1" applyFont="1" applyFill="1" applyBorder="1" applyAlignment="1">
      <alignment horizontal="right" vertical="top" wrapText="1"/>
    </xf>
    <xf numFmtId="4" fontId="10" fillId="35" borderId="13" xfId="108" applyNumberFormat="1" applyFont="1" applyFill="1" applyBorder="1" applyAlignment="1">
      <alignment horizontal="right" vertical="top" wrapText="1"/>
    </xf>
    <xf numFmtId="10" fontId="11" fillId="35" borderId="102" xfId="97" applyNumberFormat="1" applyFont="1" applyFill="1" applyBorder="1" applyAlignment="1">
      <alignment vertical="center"/>
      <protection/>
    </xf>
    <xf numFmtId="10" fontId="10" fillId="0" borderId="102" xfId="97" applyNumberFormat="1" applyFont="1" applyBorder="1" applyAlignment="1">
      <alignment vertical="top" wrapText="1"/>
      <protection/>
    </xf>
    <xf numFmtId="4" fontId="11" fillId="0" borderId="85" xfId="97" applyNumberFormat="1" applyFont="1" applyBorder="1" applyAlignment="1">
      <alignment horizontal="right" vertical="top" wrapText="1"/>
      <protection/>
    </xf>
    <xf numFmtId="4" fontId="4" fillId="0" borderId="85" xfId="97" applyNumberFormat="1" applyFont="1" applyBorder="1" applyAlignment="1">
      <alignment vertical="center"/>
      <protection/>
    </xf>
    <xf numFmtId="10" fontId="8" fillId="34" borderId="18" xfId="97" applyNumberFormat="1" applyFont="1" applyFill="1" applyBorder="1" applyAlignment="1">
      <alignment horizontal="right" vertical="top" wrapText="1"/>
      <protection/>
    </xf>
    <xf numFmtId="10" fontId="10" fillId="35" borderId="18" xfId="97" applyNumberFormat="1" applyFont="1" applyFill="1" applyBorder="1" applyAlignment="1">
      <alignment horizontal="right" vertical="top" wrapText="1"/>
      <protection/>
    </xf>
    <xf numFmtId="10" fontId="11" fillId="0" borderId="18" xfId="97" applyNumberFormat="1" applyFont="1" applyBorder="1" applyAlignment="1">
      <alignment horizontal="right" vertical="top" wrapText="1"/>
      <protection/>
    </xf>
    <xf numFmtId="10" fontId="11" fillId="0" borderId="0" xfId="97" applyNumberFormat="1" applyFont="1" applyBorder="1" applyAlignment="1">
      <alignment horizontal="right" vertical="top" wrapText="1"/>
      <protection/>
    </xf>
    <xf numFmtId="10" fontId="10" fillId="0" borderId="18" xfId="97" applyNumberFormat="1" applyFont="1" applyBorder="1" applyAlignment="1">
      <alignment horizontal="right" vertical="top" wrapText="1"/>
      <protection/>
    </xf>
    <xf numFmtId="10" fontId="10" fillId="35" borderId="40" xfId="97" applyNumberFormat="1" applyFont="1" applyFill="1" applyBorder="1" applyAlignment="1">
      <alignment horizontal="right" vertical="top" wrapText="1"/>
      <protection/>
    </xf>
    <xf numFmtId="10" fontId="10" fillId="0" borderId="0" xfId="97" applyNumberFormat="1" applyFont="1" applyBorder="1" applyAlignment="1">
      <alignment horizontal="right" vertical="top" wrapText="1"/>
      <protection/>
    </xf>
    <xf numFmtId="10" fontId="8" fillId="36" borderId="54" xfId="97" applyNumberFormat="1" applyFont="1" applyFill="1" applyBorder="1" applyAlignment="1">
      <alignment horizontal="right" vertical="top" wrapText="1"/>
      <protection/>
    </xf>
    <xf numFmtId="10" fontId="11" fillId="0" borderId="40" xfId="97" applyNumberFormat="1" applyFont="1" applyBorder="1" applyAlignment="1">
      <alignment horizontal="right" vertical="top" wrapText="1"/>
      <protection/>
    </xf>
    <xf numFmtId="10" fontId="11" fillId="35" borderId="54" xfId="97" applyNumberFormat="1" applyFont="1" applyFill="1" applyBorder="1" applyAlignment="1">
      <alignment horizontal="right" vertical="top" wrapText="1"/>
      <protection/>
    </xf>
    <xf numFmtId="10" fontId="8" fillId="34" borderId="54" xfId="97" applyNumberFormat="1" applyFont="1" applyFill="1" applyBorder="1" applyAlignment="1">
      <alignment horizontal="right" vertical="top" wrapText="1"/>
      <protection/>
    </xf>
    <xf numFmtId="10" fontId="10" fillId="37" borderId="0" xfId="97" applyNumberFormat="1" applyFont="1" applyFill="1" applyBorder="1" applyAlignment="1">
      <alignment horizontal="right" vertical="top" wrapText="1"/>
      <protection/>
    </xf>
    <xf numFmtId="10" fontId="10" fillId="37" borderId="18" xfId="97" applyNumberFormat="1" applyFont="1" applyFill="1" applyBorder="1" applyAlignment="1">
      <alignment horizontal="right" vertical="top" wrapText="1"/>
      <protection/>
    </xf>
    <xf numFmtId="10" fontId="8" fillId="37" borderId="18" xfId="97" applyNumberFormat="1" applyFont="1" applyFill="1" applyBorder="1" applyAlignment="1">
      <alignment horizontal="right" vertical="top" wrapText="1"/>
      <protection/>
    </xf>
    <xf numFmtId="10" fontId="10" fillId="35" borderId="18" xfId="108" applyNumberFormat="1" applyFont="1" applyFill="1" applyBorder="1" applyAlignment="1">
      <alignment horizontal="right" vertical="top" wrapText="1"/>
    </xf>
    <xf numFmtId="10" fontId="11" fillId="0" borderId="54" xfId="97" applyNumberFormat="1" applyFont="1" applyBorder="1" applyAlignment="1">
      <alignment horizontal="right" vertical="top" wrapText="1"/>
      <protection/>
    </xf>
    <xf numFmtId="10" fontId="11" fillId="0" borderId="109" xfId="97" applyNumberFormat="1" applyFont="1" applyBorder="1" applyAlignment="1">
      <alignment horizontal="right" vertical="top" wrapText="1"/>
      <protection/>
    </xf>
    <xf numFmtId="10" fontId="4" fillId="0" borderId="78" xfId="97" applyNumberFormat="1" applyFont="1" applyBorder="1" applyAlignment="1">
      <alignment vertical="center"/>
      <protection/>
    </xf>
    <xf numFmtId="4" fontId="10" fillId="0" borderId="90" xfId="97" applyNumberFormat="1" applyFont="1" applyBorder="1" applyAlignment="1">
      <alignment vertical="top"/>
      <protection/>
    </xf>
    <xf numFmtId="4" fontId="10" fillId="0" borderId="87" xfId="97" applyNumberFormat="1" applyFont="1" applyBorder="1" applyAlignment="1">
      <alignment vertical="top"/>
      <protection/>
    </xf>
    <xf numFmtId="4" fontId="11" fillId="0" borderId="87" xfId="97" applyNumberFormat="1" applyFont="1" applyBorder="1" applyAlignment="1">
      <alignment horizontal="right" vertical="top" wrapText="1"/>
      <protection/>
    </xf>
    <xf numFmtId="4" fontId="9" fillId="0" borderId="87" xfId="97" applyNumberFormat="1" applyFont="1" applyBorder="1" applyAlignment="1">
      <alignment horizontal="right" vertical="top" wrapText="1"/>
      <protection/>
    </xf>
    <xf numFmtId="4" fontId="11" fillId="0" borderId="89" xfId="97" applyNumberFormat="1" applyFont="1" applyBorder="1" applyAlignment="1">
      <alignment horizontal="right" vertical="top" wrapText="1"/>
      <protection/>
    </xf>
    <xf numFmtId="4" fontId="11" fillId="0" borderId="90" xfId="97" applyNumberFormat="1" applyFont="1" applyBorder="1" applyAlignment="1">
      <alignment vertical="top"/>
      <protection/>
    </xf>
    <xf numFmtId="4" fontId="12" fillId="36" borderId="90" xfId="97" applyNumberFormat="1" applyFont="1" applyFill="1" applyBorder="1" applyAlignment="1">
      <alignment horizontal="right" vertical="top" wrapText="1"/>
      <protection/>
    </xf>
    <xf numFmtId="4" fontId="11" fillId="0" borderId="87" xfId="97" applyNumberFormat="1" applyFont="1" applyBorder="1" applyAlignment="1">
      <alignment vertical="top"/>
      <protection/>
    </xf>
    <xf numFmtId="4" fontId="11" fillId="0" borderId="90" xfId="97" applyNumberFormat="1" applyFont="1" applyBorder="1" applyAlignment="1">
      <alignment vertical="center"/>
      <protection/>
    </xf>
    <xf numFmtId="4" fontId="11" fillId="35" borderId="87" xfId="97" applyNumberFormat="1" applyFont="1" applyFill="1" applyBorder="1" applyAlignment="1">
      <alignment horizontal="right" vertical="top" wrapText="1"/>
      <protection/>
    </xf>
    <xf numFmtId="4" fontId="8" fillId="37" borderId="89" xfId="97" applyNumberFormat="1" applyFont="1" applyFill="1" applyBorder="1" applyAlignment="1">
      <alignment horizontal="right" vertical="top" wrapText="1"/>
      <protection/>
    </xf>
    <xf numFmtId="4" fontId="10" fillId="0" borderId="89" xfId="97" applyNumberFormat="1" applyFont="1" applyBorder="1" applyAlignment="1">
      <alignment vertical="top"/>
      <protection/>
    </xf>
    <xf numFmtId="4" fontId="10" fillId="0" borderId="90" xfId="97" applyNumberFormat="1" applyFont="1" applyBorder="1" applyAlignment="1">
      <alignment vertical="top" wrapText="1"/>
      <protection/>
    </xf>
    <xf numFmtId="4" fontId="8" fillId="38" borderId="90" xfId="97" applyNumberFormat="1" applyFont="1" applyFill="1" applyBorder="1" applyAlignment="1">
      <alignment horizontal="right" vertical="center" wrapText="1"/>
      <protection/>
    </xf>
    <xf numFmtId="4" fontId="8" fillId="38" borderId="102" xfId="97" applyNumberFormat="1" applyFont="1" applyFill="1" applyBorder="1" applyAlignment="1">
      <alignment horizontal="right" vertical="center"/>
      <protection/>
    </xf>
    <xf numFmtId="4" fontId="10" fillId="35" borderId="102" xfId="97" applyNumberFormat="1" applyFont="1" applyFill="1" applyBorder="1" applyAlignment="1">
      <alignment horizontal="right" vertical="center"/>
      <protection/>
    </xf>
    <xf numFmtId="4" fontId="10" fillId="37" borderId="89" xfId="97" applyNumberFormat="1" applyFont="1" applyFill="1" applyBorder="1" applyAlignment="1">
      <alignment horizontal="right" vertical="center" wrapText="1"/>
      <protection/>
    </xf>
    <xf numFmtId="4" fontId="10" fillId="0" borderId="100" xfId="97" applyNumberFormat="1" applyFont="1" applyBorder="1" applyAlignment="1">
      <alignment horizontal="right" vertical="center"/>
      <protection/>
    </xf>
    <xf numFmtId="4" fontId="8" fillId="38" borderId="102" xfId="97" applyNumberFormat="1" applyFont="1" applyFill="1" applyBorder="1" applyAlignment="1">
      <alignment horizontal="right" vertical="center" wrapText="1"/>
      <protection/>
    </xf>
    <xf numFmtId="4" fontId="10" fillId="35" borderId="103" xfId="97" applyNumberFormat="1" applyFont="1" applyFill="1" applyBorder="1" applyAlignment="1">
      <alignment horizontal="right" vertical="center" wrapText="1"/>
      <protection/>
    </xf>
    <xf numFmtId="4" fontId="10" fillId="37" borderId="88" xfId="97" applyNumberFormat="1" applyFont="1" applyFill="1" applyBorder="1" applyAlignment="1">
      <alignment horizontal="right" vertical="center" wrapText="1"/>
      <protection/>
    </xf>
    <xf numFmtId="4" fontId="10" fillId="0" borderId="104" xfId="97" applyNumberFormat="1" applyFont="1" applyBorder="1" applyAlignment="1">
      <alignment vertical="center"/>
      <protection/>
    </xf>
    <xf numFmtId="4" fontId="10" fillId="35" borderId="102" xfId="97" applyNumberFormat="1" applyFont="1" applyFill="1" applyBorder="1" applyAlignment="1">
      <alignment vertical="center"/>
      <protection/>
    </xf>
    <xf numFmtId="4" fontId="10" fillId="37" borderId="87" xfId="97" applyNumberFormat="1" applyFont="1" applyFill="1" applyBorder="1" applyAlignment="1">
      <alignment horizontal="right" vertical="center" wrapText="1"/>
      <protection/>
    </xf>
    <xf numFmtId="4" fontId="10" fillId="0" borderId="108" xfId="97" applyNumberFormat="1" applyFont="1" applyBorder="1" applyAlignment="1">
      <alignment vertical="center"/>
      <protection/>
    </xf>
    <xf numFmtId="4" fontId="10" fillId="35" borderId="87" xfId="108" applyNumberFormat="1" applyFont="1" applyFill="1" applyBorder="1" applyAlignment="1">
      <alignment horizontal="right" vertical="center" wrapText="1"/>
    </xf>
    <xf numFmtId="4" fontId="10" fillId="35" borderId="13" xfId="108" applyNumberFormat="1" applyFont="1" applyFill="1" applyBorder="1" applyAlignment="1">
      <alignment horizontal="right" vertical="center" wrapText="1"/>
    </xf>
    <xf numFmtId="10" fontId="10" fillId="35" borderId="13" xfId="108" applyNumberFormat="1" applyFont="1" applyFill="1" applyBorder="1" applyAlignment="1">
      <alignment horizontal="right" vertical="center" wrapText="1"/>
    </xf>
    <xf numFmtId="4" fontId="10" fillId="35" borderId="98" xfId="108" applyNumberFormat="1" applyFont="1" applyFill="1" applyBorder="1" applyAlignment="1">
      <alignment horizontal="right" vertical="center" wrapText="1"/>
    </xf>
    <xf numFmtId="4" fontId="10" fillId="37" borderId="87" xfId="108" applyNumberFormat="1" applyFont="1" applyFill="1" applyBorder="1" applyAlignment="1">
      <alignment horizontal="right" vertical="center" wrapText="1"/>
    </xf>
    <xf numFmtId="4" fontId="10" fillId="37" borderId="13" xfId="108" applyNumberFormat="1" applyFont="1" applyFill="1" applyBorder="1" applyAlignment="1">
      <alignment horizontal="right" vertical="center" wrapText="1"/>
    </xf>
    <xf numFmtId="10" fontId="10" fillId="37" borderId="13" xfId="108" applyNumberFormat="1" applyFont="1" applyFill="1" applyBorder="1" applyAlignment="1">
      <alignment horizontal="right" vertical="center" wrapText="1"/>
    </xf>
    <xf numFmtId="4" fontId="10" fillId="37" borderId="98" xfId="108" applyNumberFormat="1" applyFont="1" applyFill="1" applyBorder="1" applyAlignment="1">
      <alignment horizontal="right" vertical="center" wrapText="1"/>
    </xf>
    <xf numFmtId="4" fontId="10" fillId="0" borderId="102" xfId="97" applyNumberFormat="1" applyFont="1" applyBorder="1" applyAlignment="1">
      <alignment vertical="center" wrapText="1"/>
      <protection/>
    </xf>
    <xf numFmtId="4" fontId="10" fillId="0" borderId="90" xfId="97" applyNumberFormat="1" applyFont="1" applyBorder="1" applyAlignment="1">
      <alignment vertical="center" wrapText="1"/>
      <protection/>
    </xf>
    <xf numFmtId="4" fontId="10" fillId="0" borderId="104" xfId="97" applyNumberFormat="1" applyFont="1" applyBorder="1" applyAlignment="1">
      <alignment vertical="center" wrapText="1"/>
      <protection/>
    </xf>
    <xf numFmtId="4" fontId="8" fillId="0" borderId="91" xfId="97" applyNumberFormat="1" applyFont="1" applyBorder="1" applyAlignment="1">
      <alignment vertical="center"/>
      <protection/>
    </xf>
    <xf numFmtId="4" fontId="8" fillId="0" borderId="105" xfId="97" applyNumberFormat="1" applyFont="1" applyBorder="1" applyAlignment="1">
      <alignment vertical="center"/>
      <protection/>
    </xf>
    <xf numFmtId="0" fontId="8" fillId="38" borderId="54" xfId="97" applyFont="1" applyFill="1" applyBorder="1" applyAlignment="1">
      <alignment horizontal="left" vertical="center" wrapText="1"/>
      <protection/>
    </xf>
    <xf numFmtId="0" fontId="10" fillId="35" borderId="54" xfId="97" applyFont="1" applyFill="1" applyBorder="1" applyAlignment="1">
      <alignment horizontal="left" vertical="center" wrapText="1"/>
      <protection/>
    </xf>
    <xf numFmtId="0" fontId="10" fillId="0" borderId="0" xfId="97" applyFont="1" applyFill="1" applyBorder="1" applyAlignment="1">
      <alignment horizontal="left" vertical="center" wrapText="1"/>
      <protection/>
    </xf>
    <xf numFmtId="0" fontId="8" fillId="38" borderId="54" xfId="97" applyFont="1" applyFill="1" applyBorder="1" applyAlignment="1">
      <alignment vertical="center" wrapText="1"/>
      <protection/>
    </xf>
    <xf numFmtId="0" fontId="10" fillId="35" borderId="40" xfId="97" applyFont="1" applyFill="1" applyBorder="1" applyAlignment="1">
      <alignment vertical="center" wrapText="1"/>
      <protection/>
    </xf>
    <xf numFmtId="0" fontId="10" fillId="35" borderId="18" xfId="97" applyFont="1" applyFill="1" applyBorder="1" applyAlignment="1">
      <alignment vertical="center" wrapText="1"/>
      <protection/>
    </xf>
    <xf numFmtId="0" fontId="10" fillId="37" borderId="18" xfId="97" applyFont="1" applyFill="1" applyBorder="1" applyAlignment="1">
      <alignment vertical="center" wrapText="1"/>
      <protection/>
    </xf>
    <xf numFmtId="0" fontId="10" fillId="37" borderId="54" xfId="97" applyFont="1" applyFill="1" applyBorder="1" applyAlignment="1">
      <alignment vertical="center" wrapText="1"/>
      <protection/>
    </xf>
    <xf numFmtId="0" fontId="10" fillId="0" borderId="67" xfId="97" applyFont="1" applyBorder="1" applyAlignment="1">
      <alignment vertical="center" wrapText="1"/>
      <protection/>
    </xf>
    <xf numFmtId="4" fontId="8" fillId="38" borderId="94" xfId="97" applyNumberFormat="1" applyFont="1" applyFill="1" applyBorder="1" applyAlignment="1">
      <alignment horizontal="right" vertical="center" wrapText="1"/>
      <protection/>
    </xf>
    <xf numFmtId="4" fontId="10" fillId="37" borderId="93" xfId="97" applyNumberFormat="1" applyFont="1" applyFill="1" applyBorder="1" applyAlignment="1">
      <alignment horizontal="right" vertical="center" wrapText="1"/>
      <protection/>
    </xf>
    <xf numFmtId="4" fontId="10" fillId="35" borderId="110" xfId="108" applyNumberFormat="1" applyFont="1" applyFill="1" applyBorder="1" applyAlignment="1">
      <alignment horizontal="right" vertical="center" wrapText="1"/>
    </xf>
    <xf numFmtId="4" fontId="10" fillId="37" borderId="110" xfId="108" applyNumberFormat="1" applyFont="1" applyFill="1" applyBorder="1" applyAlignment="1">
      <alignment horizontal="right" vertical="center" wrapText="1"/>
    </xf>
    <xf numFmtId="4" fontId="10" fillId="37" borderId="94" xfId="108" applyNumberFormat="1" applyFont="1" applyFill="1" applyBorder="1" applyAlignment="1">
      <alignment horizontal="right" vertical="center" wrapText="1"/>
    </xf>
    <xf numFmtId="4" fontId="8" fillId="0" borderId="111" xfId="97" applyNumberFormat="1" applyFont="1" applyBorder="1" applyAlignment="1">
      <alignment vertical="center"/>
      <protection/>
    </xf>
    <xf numFmtId="10" fontId="10" fillId="0" borderId="17" xfId="97" applyNumberFormat="1" applyFont="1" applyFill="1" applyBorder="1" applyAlignment="1">
      <alignment horizontal="right" vertical="center" wrapText="1"/>
      <protection/>
    </xf>
    <xf numFmtId="10" fontId="10" fillId="0" borderId="11" xfId="97" applyNumberFormat="1" applyFont="1" applyFill="1" applyBorder="1" applyAlignment="1">
      <alignment horizontal="right" vertical="center" wrapText="1"/>
      <protection/>
    </xf>
    <xf numFmtId="10" fontId="134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vertical="center"/>
    </xf>
    <xf numFmtId="10" fontId="133" fillId="0" borderId="11" xfId="0" applyNumberFormat="1" applyFont="1" applyBorder="1" applyAlignment="1">
      <alignment vertical="center"/>
    </xf>
    <xf numFmtId="10" fontId="132" fillId="38" borderId="11" xfId="0" applyNumberFormat="1" applyFont="1" applyFill="1" applyBorder="1" applyAlignment="1">
      <alignment vertical="top"/>
    </xf>
    <xf numFmtId="10" fontId="0" fillId="35" borderId="11" xfId="0" applyNumberFormat="1" applyFill="1" applyBorder="1" applyAlignment="1">
      <alignment vertical="top"/>
    </xf>
    <xf numFmtId="10" fontId="0" fillId="0" borderId="11" xfId="0" applyNumberFormat="1" applyBorder="1" applyAlignment="1">
      <alignment vertical="top"/>
    </xf>
    <xf numFmtId="10" fontId="132" fillId="0" borderId="11" xfId="0" applyNumberFormat="1" applyFont="1" applyBorder="1" applyAlignment="1">
      <alignment vertical="top"/>
    </xf>
    <xf numFmtId="10" fontId="132" fillId="0" borderId="11" xfId="0" applyNumberFormat="1" applyFont="1" applyBorder="1" applyAlignment="1">
      <alignment vertical="center"/>
    </xf>
    <xf numFmtId="10" fontId="34" fillId="0" borderId="112" xfId="95" applyNumberFormat="1" applyFont="1" applyBorder="1" applyAlignment="1">
      <alignment horizontal="right" vertical="center" wrapText="1"/>
      <protection/>
    </xf>
    <xf numFmtId="10" fontId="14" fillId="0" borderId="113" xfId="95" applyNumberFormat="1" applyFont="1" applyBorder="1" applyAlignment="1">
      <alignment horizontal="right" vertical="center" wrapText="1"/>
      <protection/>
    </xf>
    <xf numFmtId="10" fontId="36" fillId="40" borderId="114" xfId="95" applyNumberFormat="1" applyFont="1" applyFill="1" applyBorder="1" applyAlignment="1">
      <alignment horizontal="right" vertical="top" wrapText="1"/>
      <protection/>
    </xf>
    <xf numFmtId="10" fontId="29" fillId="41" borderId="114" xfId="95" applyNumberFormat="1" applyFont="1" applyFill="1" applyBorder="1" applyAlignment="1">
      <alignment horizontal="right" vertical="top" wrapText="1"/>
      <protection/>
    </xf>
    <xf numFmtId="10" fontId="29" fillId="0" borderId="11" xfId="95" applyNumberFormat="1" applyFont="1" applyBorder="1" applyAlignment="1">
      <alignment vertical="top" wrapText="1"/>
      <protection/>
    </xf>
    <xf numFmtId="10" fontId="29" fillId="0" borderId="14" xfId="95" applyNumberFormat="1" applyFont="1" applyBorder="1" applyAlignment="1">
      <alignment vertical="top" wrapText="1"/>
      <protection/>
    </xf>
    <xf numFmtId="10" fontId="30" fillId="0" borderId="11" xfId="54" applyNumberFormat="1" applyFont="1" applyBorder="1" applyAlignment="1">
      <alignment vertical="top" wrapText="1"/>
    </xf>
    <xf numFmtId="10" fontId="34" fillId="0" borderId="115" xfId="95" applyNumberFormat="1" applyFont="1" applyBorder="1" applyAlignment="1">
      <alignment horizontal="right" vertical="center" wrapText="1"/>
      <protection/>
    </xf>
    <xf numFmtId="10" fontId="35" fillId="0" borderId="11" xfId="54" applyNumberFormat="1" applyFont="1" applyBorder="1" applyAlignment="1">
      <alignment vertical="center" wrapText="1"/>
    </xf>
    <xf numFmtId="10" fontId="30" fillId="0" borderId="11" xfId="54" applyNumberFormat="1" applyFont="1" applyBorder="1" applyAlignment="1">
      <alignment vertical="center" wrapText="1"/>
    </xf>
    <xf numFmtId="10" fontId="30" fillId="0" borderId="17" xfId="54" applyNumberFormat="1" applyFont="1" applyBorder="1" applyAlignment="1">
      <alignment vertical="center" wrapText="1"/>
    </xf>
    <xf numFmtId="4" fontId="36" fillId="0" borderId="116" xfId="95" applyNumberFormat="1" applyFont="1" applyBorder="1" applyAlignment="1">
      <alignment horizontal="right" vertical="center" wrapText="1"/>
      <protection/>
    </xf>
    <xf numFmtId="10" fontId="35" fillId="0" borderId="19" xfId="54" applyNumberFormat="1" applyFont="1" applyBorder="1" applyAlignment="1">
      <alignment vertical="center" wrapText="1"/>
    </xf>
    <xf numFmtId="10" fontId="30" fillId="0" borderId="22" xfId="54" applyNumberFormat="1" applyFont="1" applyBorder="1" applyAlignment="1">
      <alignment vertical="center" wrapText="1"/>
    </xf>
    <xf numFmtId="0" fontId="14" fillId="0" borderId="54" xfId="95" applyFont="1" applyBorder="1" applyAlignment="1">
      <alignment vertical="center" wrapText="1"/>
      <protection/>
    </xf>
    <xf numFmtId="4" fontId="36" fillId="0" borderId="35" xfId="95" applyNumberFormat="1" applyFont="1" applyBorder="1" applyAlignment="1">
      <alignment horizontal="right" vertical="center" wrapText="1"/>
      <protection/>
    </xf>
    <xf numFmtId="0" fontId="5" fillId="0" borderId="0" xfId="54" applyAlignment="1">
      <alignment vertical="center"/>
    </xf>
    <xf numFmtId="10" fontId="29" fillId="0" borderId="22" xfId="95" applyNumberFormat="1" applyFont="1" applyBorder="1" applyAlignment="1">
      <alignment vertical="center" wrapText="1"/>
      <protection/>
    </xf>
    <xf numFmtId="10" fontId="36" fillId="40" borderId="114" xfId="95" applyNumberFormat="1" applyFont="1" applyFill="1" applyBorder="1" applyAlignment="1">
      <alignment horizontal="right" vertical="center" wrapText="1"/>
      <protection/>
    </xf>
    <xf numFmtId="4" fontId="36" fillId="38" borderId="54" xfId="95" applyNumberFormat="1" applyFont="1" applyFill="1" applyBorder="1" applyAlignment="1">
      <alignment horizontal="right" vertical="center" wrapText="1"/>
      <protection/>
    </xf>
    <xf numFmtId="0" fontId="36" fillId="40" borderId="59" xfId="95" applyFont="1" applyFill="1" applyBorder="1" applyAlignment="1">
      <alignment horizontal="left" vertical="center" wrapText="1"/>
      <protection/>
    </xf>
    <xf numFmtId="0" fontId="29" fillId="40" borderId="11" xfId="95" applyFont="1" applyFill="1" applyBorder="1" applyAlignment="1">
      <alignment vertical="center" wrapText="1"/>
      <protection/>
    </xf>
    <xf numFmtId="167" fontId="30" fillId="40" borderId="11" xfId="95" applyNumberFormat="1" applyFont="1" applyFill="1" applyBorder="1" applyAlignment="1">
      <alignment horizontal="left" vertical="center" wrapText="1"/>
      <protection/>
    </xf>
    <xf numFmtId="0" fontId="35" fillId="40" borderId="11" xfId="95" applyFont="1" applyFill="1" applyBorder="1" applyAlignment="1">
      <alignment horizontal="left" vertical="center" wrapText="1"/>
      <protection/>
    </xf>
    <xf numFmtId="4" fontId="36" fillId="40" borderId="11" xfId="95" applyNumberFormat="1" applyFont="1" applyFill="1" applyBorder="1" applyAlignment="1">
      <alignment horizontal="right" vertical="center" wrapText="1"/>
      <protection/>
    </xf>
    <xf numFmtId="0" fontId="36" fillId="40" borderId="11" xfId="95" applyFont="1" applyFill="1" applyBorder="1" applyAlignment="1">
      <alignment horizontal="center" vertical="center" wrapText="1"/>
      <protection/>
    </xf>
    <xf numFmtId="0" fontId="29" fillId="38" borderId="11" xfId="95" applyFont="1" applyFill="1" applyBorder="1" applyAlignment="1">
      <alignment vertical="center" wrapText="1"/>
      <protection/>
    </xf>
    <xf numFmtId="167" fontId="30" fillId="38" borderId="11" xfId="95" applyNumberFormat="1" applyFont="1" applyFill="1" applyBorder="1" applyAlignment="1">
      <alignment horizontal="left" vertical="center" wrapText="1"/>
      <protection/>
    </xf>
    <xf numFmtId="0" fontId="36" fillId="40" borderId="11" xfId="95" applyFont="1" applyFill="1" applyBorder="1" applyAlignment="1">
      <alignment horizontal="left" vertical="center" wrapText="1"/>
      <protection/>
    </xf>
    <xf numFmtId="0" fontId="36" fillId="38" borderId="30" xfId="95" applyFont="1" applyFill="1" applyBorder="1" applyAlignment="1">
      <alignment horizontal="left" vertical="top" wrapText="1"/>
      <protection/>
    </xf>
    <xf numFmtId="0" fontId="36" fillId="38" borderId="31" xfId="95" applyFont="1" applyFill="1" applyBorder="1" applyAlignment="1">
      <alignment horizontal="left" vertical="top" wrapText="1"/>
      <protection/>
    </xf>
    <xf numFmtId="167" fontId="35" fillId="38" borderId="63" xfId="95" applyNumberFormat="1" applyFont="1" applyFill="1" applyBorder="1" applyAlignment="1">
      <alignment horizontal="left" vertical="top" wrapText="1"/>
      <protection/>
    </xf>
    <xf numFmtId="0" fontId="35" fillId="38" borderId="37" xfId="95" applyFont="1" applyFill="1" applyBorder="1" applyAlignment="1">
      <alignment horizontal="left" vertical="top" wrapText="1"/>
      <protection/>
    </xf>
    <xf numFmtId="4" fontId="36" fillId="38" borderId="37" xfId="95" applyNumberFormat="1" applyFont="1" applyFill="1" applyBorder="1" applyAlignment="1">
      <alignment horizontal="right" vertical="top" wrapText="1"/>
      <protection/>
    </xf>
    <xf numFmtId="10" fontId="36" fillId="40" borderId="117" xfId="95" applyNumberFormat="1" applyFont="1" applyFill="1" applyBorder="1" applyAlignment="1">
      <alignment horizontal="right" vertical="top" wrapText="1"/>
      <protection/>
    </xf>
    <xf numFmtId="0" fontId="27" fillId="0" borderId="0" xfId="98" applyFont="1">
      <alignment/>
      <protection/>
    </xf>
    <xf numFmtId="0" fontId="36" fillId="0" borderId="0" xfId="94" applyFont="1" applyAlignment="1">
      <alignment horizontal="left"/>
      <protection/>
    </xf>
    <xf numFmtId="0" fontId="36" fillId="0" borderId="11" xfId="93" applyFont="1" applyBorder="1" applyAlignment="1">
      <alignment horizontal="center" vertical="center" wrapText="1"/>
      <protection/>
    </xf>
    <xf numFmtId="10" fontId="35" fillId="40" borderId="11" xfId="45" applyNumberFormat="1" applyFont="1" applyFill="1" applyBorder="1" applyAlignment="1" applyProtection="1">
      <alignment horizontal="right" vertical="top"/>
      <protection/>
    </xf>
    <xf numFmtId="10" fontId="30" fillId="41" borderId="11" xfId="45" applyNumberFormat="1" applyFont="1" applyFill="1" applyBorder="1" applyAlignment="1" applyProtection="1">
      <alignment horizontal="right" vertical="top"/>
      <protection/>
    </xf>
    <xf numFmtId="10" fontId="29" fillId="0" borderId="11" xfId="93" applyNumberFormat="1" applyFont="1" applyBorder="1" applyAlignment="1">
      <alignment vertical="top"/>
      <protection/>
    </xf>
    <xf numFmtId="10" fontId="20" fillId="0" borderId="11" xfId="45" applyNumberFormat="1" applyFont="1" applyFill="1" applyBorder="1" applyAlignment="1" applyProtection="1">
      <alignment horizontal="right" vertical="center"/>
      <protection/>
    </xf>
    <xf numFmtId="10" fontId="35" fillId="40" borderId="114" xfId="45" applyNumberFormat="1" applyFont="1" applyFill="1" applyBorder="1" applyAlignment="1" applyProtection="1">
      <alignment horizontal="right" vertical="top"/>
      <protection/>
    </xf>
    <xf numFmtId="10" fontId="30" fillId="41" borderId="114" xfId="45" applyNumberFormat="1" applyFont="1" applyFill="1" applyBorder="1" applyAlignment="1" applyProtection="1">
      <alignment horizontal="right" vertical="top"/>
      <protection/>
    </xf>
    <xf numFmtId="10" fontId="20" fillId="0" borderId="113" xfId="45" applyNumberFormat="1" applyFont="1" applyFill="1" applyBorder="1" applyAlignment="1" applyProtection="1">
      <alignment horizontal="right" vertical="center"/>
      <protection/>
    </xf>
    <xf numFmtId="4" fontId="14" fillId="0" borderId="0" xfId="93" applyNumberFormat="1" applyFont="1">
      <alignment/>
      <protection/>
    </xf>
    <xf numFmtId="0" fontId="24" fillId="0" borderId="45" xfId="95" applyFont="1" applyBorder="1" applyAlignment="1">
      <alignment horizontal="left" vertical="top"/>
      <protection/>
    </xf>
    <xf numFmtId="0" fontId="24" fillId="0" borderId="29" xfId="95" applyFont="1" applyBorder="1" applyAlignment="1">
      <alignment horizontal="left" vertical="top" wrapText="1"/>
      <protection/>
    </xf>
    <xf numFmtId="0" fontId="24" fillId="0" borderId="28" xfId="95" applyFont="1" applyBorder="1" applyAlignment="1">
      <alignment horizontal="center" vertical="top"/>
      <protection/>
    </xf>
    <xf numFmtId="4" fontId="24" fillId="0" borderId="118" xfId="95" applyNumberFormat="1" applyFont="1" applyBorder="1" applyAlignment="1">
      <alignment vertical="top"/>
      <protection/>
    </xf>
    <xf numFmtId="0" fontId="24" fillId="0" borderId="32" xfId="95" applyFont="1" applyBorder="1" applyAlignment="1">
      <alignment horizontal="center" vertical="top"/>
      <protection/>
    </xf>
    <xf numFmtId="4" fontId="24" fillId="0" borderId="119" xfId="95" applyNumberFormat="1" applyFont="1" applyBorder="1" applyAlignment="1">
      <alignment vertical="top"/>
      <protection/>
    </xf>
    <xf numFmtId="4" fontId="24" fillId="0" borderId="120" xfId="95" applyNumberFormat="1" applyFont="1" applyBorder="1" applyAlignment="1">
      <alignment vertical="top"/>
      <protection/>
    </xf>
    <xf numFmtId="4" fontId="24" fillId="0" borderId="121" xfId="95" applyNumberFormat="1" applyFont="1" applyBorder="1" applyAlignment="1">
      <alignment vertical="top"/>
      <protection/>
    </xf>
    <xf numFmtId="0" fontId="24" fillId="0" borderId="33" xfId="95" applyFont="1" applyBorder="1" applyAlignment="1">
      <alignment horizontal="center" vertical="top"/>
      <protection/>
    </xf>
    <xf numFmtId="4" fontId="24" fillId="0" borderId="122" xfId="95" applyNumberFormat="1" applyFont="1" applyBorder="1" applyAlignment="1">
      <alignment vertical="top"/>
      <protection/>
    </xf>
    <xf numFmtId="0" fontId="55" fillId="39" borderId="123" xfId="95" applyFont="1" applyFill="1" applyBorder="1" applyAlignment="1">
      <alignment horizontal="right" vertical="top"/>
      <protection/>
    </xf>
    <xf numFmtId="0" fontId="55" fillId="39" borderId="28" xfId="95" applyFont="1" applyFill="1" applyBorder="1" applyAlignment="1">
      <alignment horizontal="right" vertical="top"/>
      <protection/>
    </xf>
    <xf numFmtId="0" fontId="55" fillId="39" borderId="45" xfId="95" applyFont="1" applyFill="1" applyBorder="1" applyAlignment="1">
      <alignment horizontal="right" vertical="center"/>
      <protection/>
    </xf>
    <xf numFmtId="4" fontId="55" fillId="39" borderId="124" xfId="95" applyNumberFormat="1" applyFont="1" applyFill="1" applyBorder="1" applyAlignment="1">
      <alignment horizontal="right" vertical="center"/>
      <protection/>
    </xf>
    <xf numFmtId="4" fontId="55" fillId="39" borderId="125" xfId="95" applyNumberFormat="1" applyFont="1" applyFill="1" applyBorder="1" applyAlignment="1">
      <alignment horizontal="right" vertical="center"/>
      <protection/>
    </xf>
    <xf numFmtId="4" fontId="24" fillId="0" borderId="59" xfId="95" applyNumberFormat="1" applyFont="1" applyBorder="1" applyAlignment="1">
      <alignment vertical="top"/>
      <protection/>
    </xf>
    <xf numFmtId="4" fontId="24" fillId="0" borderId="126" xfId="95" applyNumberFormat="1" applyFont="1" applyBorder="1" applyAlignment="1">
      <alignment vertical="top"/>
      <protection/>
    </xf>
    <xf numFmtId="4" fontId="24" fillId="0" borderId="127" xfId="95" applyNumberFormat="1" applyFont="1" applyBorder="1" applyAlignment="1">
      <alignment vertical="top"/>
      <protection/>
    </xf>
    <xf numFmtId="4" fontId="24" fillId="0" borderId="128" xfId="95" applyNumberFormat="1" applyFont="1" applyBorder="1" applyAlignment="1">
      <alignment vertical="top"/>
      <protection/>
    </xf>
    <xf numFmtId="4" fontId="24" fillId="0" borderId="129" xfId="95" applyNumberFormat="1" applyFont="1" applyBorder="1" applyAlignment="1">
      <alignment vertical="top"/>
      <protection/>
    </xf>
    <xf numFmtId="4" fontId="55" fillId="39" borderId="118" xfId="95" applyNumberFormat="1" applyFont="1" applyFill="1" applyBorder="1" applyAlignment="1">
      <alignment horizontal="right" vertical="center"/>
      <protection/>
    </xf>
    <xf numFmtId="4" fontId="55" fillId="39" borderId="127" xfId="95" applyNumberFormat="1" applyFont="1" applyFill="1" applyBorder="1" applyAlignment="1">
      <alignment horizontal="right" vertical="center"/>
      <protection/>
    </xf>
    <xf numFmtId="0" fontId="24" fillId="0" borderId="25" xfId="95" applyFont="1" applyBorder="1">
      <alignment/>
      <protection/>
    </xf>
    <xf numFmtId="0" fontId="24" fillId="0" borderId="130" xfId="95" applyFont="1" applyBorder="1">
      <alignment/>
      <protection/>
    </xf>
    <xf numFmtId="10" fontId="24" fillId="0" borderId="131" xfId="95" applyNumberFormat="1" applyFont="1" applyBorder="1">
      <alignment/>
      <protection/>
    </xf>
    <xf numFmtId="10" fontId="24" fillId="0" borderId="132" xfId="95" applyNumberFormat="1" applyFont="1" applyBorder="1" applyAlignment="1">
      <alignment vertical="top"/>
      <protection/>
    </xf>
    <xf numFmtId="10" fontId="24" fillId="0" borderId="131" xfId="95" applyNumberFormat="1" applyFont="1" applyBorder="1" applyAlignment="1">
      <alignment vertical="top"/>
      <protection/>
    </xf>
    <xf numFmtId="10" fontId="55" fillId="39" borderId="124" xfId="95" applyNumberFormat="1" applyFont="1" applyFill="1" applyBorder="1" applyAlignment="1">
      <alignment horizontal="center" vertical="center"/>
      <protection/>
    </xf>
    <xf numFmtId="10" fontId="23" fillId="39" borderId="133" xfId="95" applyNumberFormat="1" applyFont="1" applyFill="1" applyBorder="1" applyAlignment="1">
      <alignment horizontal="center" vertical="center"/>
      <protection/>
    </xf>
    <xf numFmtId="0" fontId="26" fillId="0" borderId="68" xfId="95" applyFont="1" applyBorder="1" applyAlignment="1">
      <alignment horizontal="left" vertical="top" wrapText="1"/>
      <protection/>
    </xf>
    <xf numFmtId="0" fontId="25" fillId="0" borderId="33" xfId="95" applyFont="1" applyBorder="1" applyAlignment="1">
      <alignment horizontal="center" vertical="top"/>
      <protection/>
    </xf>
    <xf numFmtId="49" fontId="25" fillId="0" borderId="68" xfId="95" applyNumberFormat="1" applyFont="1" applyBorder="1" applyAlignment="1">
      <alignment horizontal="left" vertical="top" wrapText="1"/>
      <protection/>
    </xf>
    <xf numFmtId="4" fontId="25" fillId="0" borderId="122" xfId="95" applyNumberFormat="1" applyFont="1" applyBorder="1" applyAlignment="1">
      <alignment vertical="top"/>
      <protection/>
    </xf>
    <xf numFmtId="4" fontId="25" fillId="0" borderId="129" xfId="95" applyNumberFormat="1" applyFont="1" applyBorder="1" applyAlignment="1">
      <alignment vertical="top"/>
      <protection/>
    </xf>
    <xf numFmtId="0" fontId="25" fillId="0" borderId="25" xfId="95" applyFont="1" applyBorder="1">
      <alignment/>
      <protection/>
    </xf>
    <xf numFmtId="10" fontId="25" fillId="0" borderId="132" xfId="95" applyNumberFormat="1" applyFont="1" applyBorder="1" applyAlignment="1">
      <alignment vertical="top"/>
      <protection/>
    </xf>
    <xf numFmtId="4" fontId="25" fillId="0" borderId="134" xfId="95" applyNumberFormat="1" applyFont="1" applyBorder="1" applyAlignment="1">
      <alignment vertical="top"/>
      <protection/>
    </xf>
    <xf numFmtId="4" fontId="25" fillId="0" borderId="135" xfId="95" applyNumberFormat="1" applyFont="1" applyBorder="1" applyAlignment="1">
      <alignment vertical="top"/>
      <protection/>
    </xf>
    <xf numFmtId="10" fontId="25" fillId="0" borderId="136" xfId="95" applyNumberFormat="1" applyFont="1" applyBorder="1" applyAlignment="1">
      <alignment vertical="top"/>
      <protection/>
    </xf>
    <xf numFmtId="4" fontId="2" fillId="0" borderId="68" xfId="98" applyNumberFormat="1" applyFont="1" applyBorder="1" applyAlignment="1">
      <alignment horizontal="right" vertical="center"/>
      <protection/>
    </xf>
    <xf numFmtId="4" fontId="2" fillId="0" borderId="37" xfId="98" applyNumberFormat="1" applyFont="1" applyBorder="1" applyAlignment="1">
      <alignment horizontal="right" vertical="center"/>
      <protection/>
    </xf>
    <xf numFmtId="4" fontId="2" fillId="0" borderId="54" xfId="98" applyNumberFormat="1" applyFont="1" applyBorder="1" applyAlignment="1">
      <alignment horizontal="right" vertical="center"/>
      <protection/>
    </xf>
    <xf numFmtId="4" fontId="2" fillId="0" borderId="34" xfId="98" applyNumberFormat="1" applyFont="1" applyBorder="1" applyAlignment="1">
      <alignment horizontal="right" vertical="center"/>
      <protection/>
    </xf>
    <xf numFmtId="49" fontId="4" fillId="0" borderId="137" xfId="98" applyNumberFormat="1" applyFont="1" applyBorder="1" applyAlignment="1">
      <alignment horizontal="center" vertical="top" wrapText="1"/>
      <protection/>
    </xf>
    <xf numFmtId="49" fontId="2" fillId="0" borderId="14" xfId="98" applyNumberFormat="1" applyFont="1" applyBorder="1" applyAlignment="1">
      <alignment horizontal="center" vertical="center"/>
      <protection/>
    </xf>
    <xf numFmtId="4" fontId="2" fillId="0" borderId="14" xfId="98" applyNumberFormat="1" applyFont="1" applyBorder="1" applyAlignment="1">
      <alignment horizontal="right" vertical="center"/>
      <protection/>
    </xf>
    <xf numFmtId="4" fontId="2" fillId="0" borderId="67" xfId="98" applyNumberFormat="1" applyFont="1" applyBorder="1" applyAlignment="1">
      <alignment horizontal="right" vertical="center"/>
      <protection/>
    </xf>
    <xf numFmtId="0" fontId="18" fillId="0" borderId="14" xfId="98" applyFont="1" applyBorder="1" applyAlignment="1">
      <alignment horizontal="left" vertical="top" wrapText="1"/>
      <protection/>
    </xf>
    <xf numFmtId="4" fontId="4" fillId="0" borderId="138" xfId="98" applyNumberFormat="1" applyFont="1" applyBorder="1">
      <alignment/>
      <protection/>
    </xf>
    <xf numFmtId="0" fontId="4" fillId="0" borderId="11" xfId="98" applyFont="1" applyBorder="1" applyAlignment="1">
      <alignment horizontal="left" vertical="center" wrapText="1"/>
      <protection/>
    </xf>
    <xf numFmtId="0" fontId="4" fillId="0" borderId="12" xfId="98" applyFont="1" applyBorder="1" applyAlignment="1">
      <alignment horizontal="left" vertical="center" wrapText="1"/>
      <protection/>
    </xf>
    <xf numFmtId="10" fontId="2" fillId="0" borderId="33" xfId="98" applyNumberFormat="1" applyFont="1" applyBorder="1" applyAlignment="1">
      <alignment horizontal="right" vertical="center"/>
      <protection/>
    </xf>
    <xf numFmtId="10" fontId="25" fillId="0" borderId="31" xfId="98" applyNumberFormat="1" applyFont="1" applyBorder="1" applyAlignment="1">
      <alignment horizontal="right" vertical="center"/>
      <protection/>
    </xf>
    <xf numFmtId="10" fontId="2" fillId="0" borderId="34" xfId="98" applyNumberFormat="1" applyFont="1" applyBorder="1" applyAlignment="1">
      <alignment horizontal="right" vertical="center"/>
      <protection/>
    </xf>
    <xf numFmtId="10" fontId="2" fillId="0" borderId="31" xfId="98" applyNumberFormat="1" applyFont="1" applyBorder="1" applyAlignment="1">
      <alignment horizontal="right" vertical="center"/>
      <protection/>
    </xf>
    <xf numFmtId="10" fontId="2" fillId="0" borderId="31" xfId="98" applyNumberFormat="1" applyFont="1" applyBorder="1" applyAlignment="1">
      <alignment horizontal="right" vertical="center"/>
      <protection/>
    </xf>
    <xf numFmtId="10" fontId="2" fillId="0" borderId="34" xfId="98" applyNumberFormat="1" applyFont="1" applyBorder="1" applyAlignment="1">
      <alignment horizontal="right" vertical="center"/>
      <protection/>
    </xf>
    <xf numFmtId="10" fontId="2" fillId="0" borderId="80" xfId="98" applyNumberFormat="1" applyFont="1" applyBorder="1" applyAlignment="1">
      <alignment horizontal="right" vertical="center"/>
      <protection/>
    </xf>
    <xf numFmtId="10" fontId="4" fillId="0" borderId="138" xfId="98" applyNumberFormat="1" applyFont="1" applyBorder="1">
      <alignment/>
      <protection/>
    </xf>
    <xf numFmtId="49" fontId="2" fillId="0" borderId="36" xfId="98" applyNumberFormat="1" applyFont="1" applyBorder="1" applyAlignment="1">
      <alignment horizontal="center" vertical="center"/>
      <protection/>
    </xf>
    <xf numFmtId="4" fontId="2" fillId="0" borderId="56" xfId="98" applyNumberFormat="1" applyFont="1" applyBorder="1" applyAlignment="1">
      <alignment horizontal="right" vertical="center"/>
      <protection/>
    </xf>
    <xf numFmtId="10" fontId="2" fillId="0" borderId="17" xfId="98" applyNumberFormat="1" applyFont="1" applyBorder="1" applyAlignment="1">
      <alignment horizontal="right" vertical="center"/>
      <protection/>
    </xf>
    <xf numFmtId="49" fontId="18" fillId="0" borderId="11" xfId="98" applyNumberFormat="1" applyFont="1" applyBorder="1" applyAlignment="1">
      <alignment horizontal="center"/>
      <protection/>
    </xf>
    <xf numFmtId="10" fontId="18" fillId="0" borderId="11" xfId="98" applyNumberFormat="1" applyFont="1" applyBorder="1" applyAlignment="1">
      <alignment horizontal="center"/>
      <protection/>
    </xf>
    <xf numFmtId="0" fontId="18" fillId="0" borderId="33" xfId="98" applyFont="1" applyBorder="1" applyAlignment="1">
      <alignment horizontal="left" vertical="top" wrapText="1"/>
      <protection/>
    </xf>
    <xf numFmtId="49" fontId="2" fillId="0" borderId="33" xfId="98" applyNumberFormat="1" applyFont="1" applyBorder="1" applyAlignment="1">
      <alignment horizontal="center" vertical="center"/>
      <protection/>
    </xf>
    <xf numFmtId="0" fontId="18" fillId="0" borderId="31" xfId="98" applyFont="1" applyBorder="1" applyAlignment="1">
      <alignment horizontal="left" vertical="top" wrapText="1"/>
      <protection/>
    </xf>
    <xf numFmtId="0" fontId="136" fillId="0" borderId="31" xfId="98" applyFont="1" applyBorder="1" applyAlignment="1">
      <alignment horizontal="left" vertical="top" wrapText="1"/>
      <protection/>
    </xf>
    <xf numFmtId="0" fontId="136" fillId="0" borderId="34" xfId="98" applyFont="1" applyBorder="1" applyAlignment="1">
      <alignment horizontal="left" vertical="top" wrapText="1"/>
      <protection/>
    </xf>
    <xf numFmtId="0" fontId="136" fillId="0" borderId="17" xfId="98" applyFont="1" applyBorder="1" applyAlignment="1">
      <alignment horizontal="left" vertical="top" wrapText="1"/>
      <protection/>
    </xf>
    <xf numFmtId="49" fontId="2" fillId="0" borderId="34" xfId="98" applyNumberFormat="1" applyFont="1" applyBorder="1" applyAlignment="1">
      <alignment horizontal="center" vertical="center"/>
      <protection/>
    </xf>
    <xf numFmtId="4" fontId="2" fillId="0" borderId="35" xfId="98" applyNumberFormat="1" applyFont="1" applyBorder="1" applyAlignment="1">
      <alignment horizontal="right" vertical="center"/>
      <protection/>
    </xf>
    <xf numFmtId="4" fontId="2" fillId="0" borderId="66" xfId="98" applyNumberFormat="1" applyFont="1" applyBorder="1" applyAlignment="1">
      <alignment horizontal="right" vertical="center"/>
      <protection/>
    </xf>
    <xf numFmtId="4" fontId="2" fillId="0" borderId="39" xfId="98" applyNumberFormat="1" applyFont="1" applyBorder="1" applyAlignment="1">
      <alignment horizontal="right" vertical="center"/>
      <protection/>
    </xf>
    <xf numFmtId="0" fontId="21" fillId="0" borderId="0" xfId="80" applyNumberFormat="1" applyFont="1" applyFill="1" applyBorder="1" applyAlignment="1" applyProtection="1">
      <alignment horizontal="left"/>
      <protection locked="0"/>
    </xf>
    <xf numFmtId="49" fontId="57" fillId="44" borderId="33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28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33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80" applyNumberFormat="1" applyFont="1" applyFill="1" applyBorder="1" applyAlignment="1" applyProtection="1">
      <alignment horizontal="left" vertical="center"/>
      <protection locked="0"/>
    </xf>
    <xf numFmtId="0" fontId="21" fillId="0" borderId="0" xfId="80" applyNumberFormat="1" applyFont="1" applyFill="1" applyBorder="1" applyAlignment="1" applyProtection="1">
      <alignment horizontal="right"/>
      <protection locked="0"/>
    </xf>
    <xf numFmtId="4" fontId="51" fillId="0" borderId="11" xfId="80" applyNumberFormat="1" applyFont="1" applyFill="1" applyBorder="1" applyAlignment="1" applyProtection="1">
      <alignment horizontal="right" vertical="center"/>
      <protection locked="0"/>
    </xf>
    <xf numFmtId="4" fontId="51" fillId="0" borderId="0" xfId="80" applyNumberFormat="1" applyFont="1" applyFill="1" applyBorder="1" applyAlignment="1" applyProtection="1">
      <alignment horizontal="right" vertical="center"/>
      <protection locked="0"/>
    </xf>
    <xf numFmtId="0" fontId="20" fillId="0" borderId="0" xfId="80" applyNumberFormat="1" applyFont="1" applyFill="1" applyBorder="1" applyAlignment="1" applyProtection="1">
      <alignment horizontal="left"/>
      <protection locked="0"/>
    </xf>
    <xf numFmtId="0" fontId="21" fillId="0" borderId="18" xfId="80" applyNumberFormat="1" applyFont="1" applyFill="1" applyBorder="1" applyAlignment="1" applyProtection="1">
      <alignment horizontal="center"/>
      <protection locked="0"/>
    </xf>
    <xf numFmtId="49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44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2" xfId="80" applyNumberFormat="1" applyFont="1" applyFill="1" applyBorder="1" applyAlignment="1" applyProtection="1">
      <alignment horizontal="right" vertical="center"/>
      <protection locked="0"/>
    </xf>
    <xf numFmtId="4" fontId="51" fillId="44" borderId="139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40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39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1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25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40" xfId="80" applyNumberFormat="1" applyFont="1" applyFill="1" applyBorder="1" applyAlignment="1" applyProtection="1">
      <alignment horizontal="right" vertical="center"/>
      <protection locked="0"/>
    </xf>
    <xf numFmtId="10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36" xfId="80" applyNumberFormat="1" applyFont="1" applyFill="1" applyBorder="1" applyAlignment="1" applyProtection="1">
      <alignment horizontal="center" vertical="center" wrapText="1"/>
      <protection locked="0"/>
    </xf>
    <xf numFmtId="49" fontId="49" fillId="46" borderId="56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141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1" xfId="80" applyNumberFormat="1" applyFont="1" applyFill="1" applyBorder="1" applyAlignment="1" applyProtection="1">
      <alignment horizontal="right" vertical="center" wrapText="1"/>
      <protection locked="0"/>
    </xf>
    <xf numFmtId="10" fontId="32" fillId="46" borderId="11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center" vertical="center" wrapText="1"/>
      <protection locked="0"/>
    </xf>
    <xf numFmtId="49" fontId="49" fillId="46" borderId="45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140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44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8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75" applyNumberFormat="1" applyAlignment="1">
      <alignment/>
    </xf>
    <xf numFmtId="0" fontId="21" fillId="0" borderId="0" xfId="80" applyNumberFormat="1" applyFont="1" applyFill="1" applyBorder="1" applyAlignment="1" applyProtection="1">
      <alignment horizontal="center"/>
      <protection locked="0"/>
    </xf>
    <xf numFmtId="4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45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45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1" xfId="80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80" applyNumberFormat="1" applyFont="1" applyFill="1" applyBorder="1" applyAlignment="1" applyProtection="1">
      <alignment vertical="center" wrapText="1"/>
      <protection locked="0"/>
    </xf>
    <xf numFmtId="0" fontId="6" fillId="0" borderId="17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5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center" vertical="center" wrapText="1"/>
      <protection locked="0"/>
    </xf>
    <xf numFmtId="49" fontId="57" fillId="47" borderId="33" xfId="80" applyNumberFormat="1" applyFont="1" applyFill="1" applyBorder="1" applyAlignment="1" applyProtection="1">
      <alignment horizontal="center" vertical="center" wrapText="1"/>
      <protection locked="0"/>
    </xf>
    <xf numFmtId="49" fontId="47" fillId="47" borderId="33" xfId="80" applyNumberFormat="1" applyFont="1" applyFill="1" applyBorder="1" applyAlignment="1" applyProtection="1">
      <alignment horizontal="center" vertical="center" wrapText="1"/>
      <protection locked="0"/>
    </xf>
    <xf numFmtId="0" fontId="21" fillId="37" borderId="0" xfId="80" applyNumberFormat="1" applyFont="1" applyFill="1" applyBorder="1" applyAlignment="1" applyProtection="1">
      <alignment horizontal="left"/>
      <protection locked="0"/>
    </xf>
    <xf numFmtId="49" fontId="51" fillId="47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7" borderId="28" xfId="80" applyNumberFormat="1" applyFont="1" applyFill="1" applyBorder="1" applyAlignment="1" applyProtection="1">
      <alignment horizontal="left" vertical="center" wrapText="1"/>
      <protection locked="0"/>
    </xf>
    <xf numFmtId="4" fontId="51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45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center" vertical="center" wrapText="1"/>
      <protection locked="0"/>
    </xf>
    <xf numFmtId="10" fontId="27" fillId="38" borderId="11" xfId="92" applyNumberFormat="1" applyFont="1" applyFill="1" applyBorder="1" applyAlignment="1">
      <alignment horizontal="right" vertical="top"/>
      <protection/>
    </xf>
    <xf numFmtId="10" fontId="13" fillId="35" borderId="11" xfId="92" applyNumberFormat="1" applyFont="1" applyFill="1" applyBorder="1" applyAlignment="1">
      <alignment horizontal="right" vertical="top" wrapText="1"/>
      <protection/>
    </xf>
    <xf numFmtId="10" fontId="2" fillId="0" borderId="11" xfId="92" applyNumberFormat="1" applyBorder="1">
      <alignment/>
      <protection/>
    </xf>
    <xf numFmtId="10" fontId="55" fillId="0" borderId="17" xfId="92" applyNumberFormat="1" applyFont="1" applyBorder="1" applyAlignment="1">
      <alignment horizontal="right"/>
      <protection/>
    </xf>
    <xf numFmtId="10" fontId="4" fillId="38" borderId="12" xfId="92" applyNumberFormat="1" applyFont="1" applyFill="1" applyBorder="1" applyAlignment="1">
      <alignment horizontal="right" vertical="top"/>
      <protection/>
    </xf>
    <xf numFmtId="10" fontId="13" fillId="35" borderId="12" xfId="92" applyNumberFormat="1" applyFont="1" applyFill="1" applyBorder="1" applyAlignment="1">
      <alignment horizontal="right" vertical="top"/>
      <protection/>
    </xf>
    <xf numFmtId="10" fontId="13" fillId="0" borderId="11" xfId="92" applyNumberFormat="1" applyFont="1" applyBorder="1" applyAlignment="1">
      <alignment vertical="top"/>
      <protection/>
    </xf>
    <xf numFmtId="10" fontId="55" fillId="0" borderId="13" xfId="92" applyNumberFormat="1" applyFont="1" applyBorder="1" applyAlignment="1">
      <alignment horizontal="right"/>
      <protection/>
    </xf>
    <xf numFmtId="0" fontId="23" fillId="0" borderId="0" xfId="92" applyFont="1" applyBorder="1" applyAlignment="1">
      <alignment horizontal="center" vertical="center" wrapText="1"/>
      <protection/>
    </xf>
    <xf numFmtId="0" fontId="13" fillId="0" borderId="0" xfId="92" applyFont="1" applyBorder="1" applyAlignment="1">
      <alignment horizontal="left"/>
      <protection/>
    </xf>
    <xf numFmtId="4" fontId="13" fillId="0" borderId="0" xfId="92" applyNumberFormat="1" applyFont="1" applyBorder="1" applyAlignment="1">
      <alignment horizontal="right"/>
      <protection/>
    </xf>
    <xf numFmtId="0" fontId="13" fillId="0" borderId="0" xfId="92" applyFont="1" applyBorder="1">
      <alignment/>
      <protection/>
    </xf>
    <xf numFmtId="4" fontId="27" fillId="0" borderId="0" xfId="92" applyNumberFormat="1" applyFont="1" applyBorder="1" applyAlignment="1">
      <alignment horizontal="right"/>
      <protection/>
    </xf>
    <xf numFmtId="0" fontId="59" fillId="0" borderId="0" xfId="92" applyFont="1" applyBorder="1" applyAlignment="1">
      <alignment horizontal="center" vertical="center" wrapText="1"/>
      <protection/>
    </xf>
    <xf numFmtId="4" fontId="18" fillId="0" borderId="0" xfId="92" applyNumberFormat="1" applyFont="1">
      <alignment/>
      <protection/>
    </xf>
    <xf numFmtId="4" fontId="136" fillId="0" borderId="0" xfId="92" applyNumberFormat="1" applyFont="1">
      <alignment/>
      <protection/>
    </xf>
    <xf numFmtId="4" fontId="2" fillId="0" borderId="0" xfId="92" applyNumberFormat="1">
      <alignment/>
      <protection/>
    </xf>
    <xf numFmtId="0" fontId="2" fillId="0" borderId="0" xfId="92" applyAlignment="1">
      <alignment horizontal="left" vertical="top"/>
      <protection/>
    </xf>
    <xf numFmtId="4" fontId="2" fillId="0" borderId="0" xfId="92" applyNumberFormat="1" applyBorder="1">
      <alignment/>
      <protection/>
    </xf>
    <xf numFmtId="0" fontId="2" fillId="0" borderId="0" xfId="92" applyAlignment="1">
      <alignment vertical="top"/>
      <protection/>
    </xf>
    <xf numFmtId="0" fontId="2" fillId="0" borderId="25" xfId="92" applyBorder="1" applyAlignment="1">
      <alignment horizontal="center" vertical="center" wrapText="1"/>
      <protection/>
    </xf>
    <xf numFmtId="0" fontId="18" fillId="0" borderId="0" xfId="92" applyFont="1" applyBorder="1" applyAlignment="1">
      <alignment vertical="center" wrapText="1"/>
      <protection/>
    </xf>
    <xf numFmtId="4" fontId="137" fillId="0" borderId="25" xfId="92" applyNumberFormat="1" applyFont="1" applyBorder="1" applyAlignment="1">
      <alignment horizontal="right" vertical="top" wrapText="1"/>
      <protection/>
    </xf>
    <xf numFmtId="4" fontId="137" fillId="0" borderId="0" xfId="92" applyNumberFormat="1" applyFont="1" applyBorder="1" applyAlignment="1">
      <alignment horizontal="right" vertical="top" wrapText="1"/>
      <protection/>
    </xf>
    <xf numFmtId="4" fontId="28" fillId="0" borderId="25" xfId="92" applyNumberFormat="1" applyFont="1" applyBorder="1">
      <alignment/>
      <protection/>
    </xf>
    <xf numFmtId="4" fontId="28" fillId="0" borderId="0" xfId="92" applyNumberFormat="1" applyFont="1" applyBorder="1">
      <alignment/>
      <protection/>
    </xf>
    <xf numFmtId="4" fontId="138" fillId="0" borderId="25" xfId="92" applyNumberFormat="1" applyFont="1" applyBorder="1" applyAlignment="1">
      <alignment horizontal="right" vertical="top" wrapText="1"/>
      <protection/>
    </xf>
    <xf numFmtId="4" fontId="138" fillId="0" borderId="0" xfId="92" applyNumberFormat="1" applyFont="1" applyBorder="1" applyAlignment="1">
      <alignment horizontal="right" vertical="top" wrapText="1"/>
      <protection/>
    </xf>
    <xf numFmtId="4" fontId="2" fillId="0" borderId="25" xfId="92" applyNumberFormat="1" applyBorder="1">
      <alignment/>
      <protection/>
    </xf>
    <xf numFmtId="4" fontId="139" fillId="0" borderId="0" xfId="92" applyNumberFormat="1" applyFont="1" applyBorder="1">
      <alignment/>
      <protection/>
    </xf>
    <xf numFmtId="0" fontId="28" fillId="0" borderId="0" xfId="92" applyFont="1" applyBorder="1">
      <alignment/>
      <protection/>
    </xf>
    <xf numFmtId="4" fontId="140" fillId="0" borderId="25" xfId="92" applyNumberFormat="1" applyFont="1" applyBorder="1">
      <alignment/>
      <protection/>
    </xf>
    <xf numFmtId="4" fontId="140" fillId="0" borderId="0" xfId="92" applyNumberFormat="1" applyFont="1" applyBorder="1">
      <alignment/>
      <protection/>
    </xf>
    <xf numFmtId="4" fontId="141" fillId="0" borderId="0" xfId="92" applyNumberFormat="1" applyFont="1" applyBorder="1">
      <alignment/>
      <protection/>
    </xf>
    <xf numFmtId="4" fontId="137" fillId="0" borderId="0" xfId="92" applyNumberFormat="1" applyFont="1" applyBorder="1">
      <alignment/>
      <protection/>
    </xf>
    <xf numFmtId="4" fontId="140" fillId="0" borderId="25" xfId="92" applyNumberFormat="1" applyFont="1" applyBorder="1" applyAlignment="1">
      <alignment vertical="top"/>
      <protection/>
    </xf>
    <xf numFmtId="4" fontId="140" fillId="0" borderId="0" xfId="92" applyNumberFormat="1" applyFont="1" applyBorder="1" applyAlignment="1">
      <alignment vertical="top"/>
      <protection/>
    </xf>
    <xf numFmtId="4" fontId="137" fillId="37" borderId="25" xfId="92" applyNumberFormat="1" applyFont="1" applyFill="1" applyBorder="1" applyAlignment="1">
      <alignment horizontal="right" vertical="top" wrapText="1"/>
      <protection/>
    </xf>
    <xf numFmtId="4" fontId="137" fillId="37" borderId="0" xfId="92" applyNumberFormat="1" applyFont="1" applyFill="1" applyBorder="1" applyAlignment="1">
      <alignment horizontal="right" vertical="top" wrapText="1"/>
      <protection/>
    </xf>
    <xf numFmtId="0" fontId="2" fillId="0" borderId="0" xfId="92" applyFont="1">
      <alignment/>
      <protection/>
    </xf>
    <xf numFmtId="4" fontId="37" fillId="0" borderId="14" xfId="92" applyNumberFormat="1" applyFont="1" applyBorder="1" applyAlignment="1">
      <alignment horizontal="right" vertical="top" wrapText="1"/>
      <protection/>
    </xf>
    <xf numFmtId="0" fontId="2" fillId="0" borderId="0" xfId="92" applyAlignment="1">
      <alignment horizontal="center"/>
      <protection/>
    </xf>
    <xf numFmtId="0" fontId="4" fillId="0" borderId="0" xfId="92" applyFont="1" applyAlignment="1">
      <alignment horizontal="right" vertical="top"/>
      <protection/>
    </xf>
    <xf numFmtId="4" fontId="137" fillId="0" borderId="25" xfId="92" applyNumberFormat="1" applyFont="1" applyBorder="1" applyAlignment="1">
      <alignment vertical="top" wrapText="1"/>
      <protection/>
    </xf>
    <xf numFmtId="4" fontId="137" fillId="0" borderId="0" xfId="92" applyNumberFormat="1" applyFont="1" applyBorder="1" applyAlignment="1">
      <alignment vertical="top" wrapText="1"/>
      <protection/>
    </xf>
    <xf numFmtId="4" fontId="140" fillId="37" borderId="25" xfId="92" applyNumberFormat="1" applyFont="1" applyFill="1" applyBorder="1" applyAlignment="1">
      <alignment vertical="top" wrapText="1"/>
      <protection/>
    </xf>
    <xf numFmtId="4" fontId="140" fillId="37" borderId="0" xfId="92" applyNumberFormat="1" applyFont="1" applyFill="1" applyBorder="1" applyAlignment="1">
      <alignment vertical="top" wrapText="1"/>
      <protection/>
    </xf>
    <xf numFmtId="0" fontId="31" fillId="0" borderId="11" xfId="92" applyFont="1" applyBorder="1" applyAlignment="1">
      <alignment horizontal="left" vertical="center" wrapText="1"/>
      <protection/>
    </xf>
    <xf numFmtId="0" fontId="14" fillId="0" borderId="11" xfId="92" applyFont="1" applyBorder="1">
      <alignment/>
      <protection/>
    </xf>
    <xf numFmtId="0" fontId="14" fillId="0" borderId="54" xfId="92" applyFont="1" applyBorder="1">
      <alignment/>
      <protection/>
    </xf>
    <xf numFmtId="0" fontId="14" fillId="0" borderId="12" xfId="92" applyFont="1" applyBorder="1">
      <alignment/>
      <protection/>
    </xf>
    <xf numFmtId="0" fontId="14" fillId="0" borderId="12" xfId="92" applyFont="1" applyBorder="1" applyAlignment="1">
      <alignment vertical="center" wrapText="1"/>
      <protection/>
    </xf>
    <xf numFmtId="0" fontId="36" fillId="0" borderId="11" xfId="92" applyFont="1" applyBorder="1" applyAlignment="1">
      <alignment horizontal="center" vertical="center" wrapText="1"/>
      <protection/>
    </xf>
    <xf numFmtId="0" fontId="61" fillId="0" borderId="11" xfId="92" applyFont="1" applyBorder="1" applyAlignment="1">
      <alignment horizontal="center" vertical="center" wrapText="1"/>
      <protection/>
    </xf>
    <xf numFmtId="0" fontId="3" fillId="0" borderId="11" xfId="92" applyFont="1" applyBorder="1" applyAlignment="1">
      <alignment vertical="top" wrapText="1"/>
      <protection/>
    </xf>
    <xf numFmtId="4" fontId="14" fillId="0" borderId="54" xfId="92" applyNumberFormat="1" applyFont="1" applyBorder="1" applyAlignment="1">
      <alignment vertical="top" wrapText="1"/>
      <protection/>
    </xf>
    <xf numFmtId="0" fontId="14" fillId="0" borderId="11" xfId="92" applyFont="1" applyBorder="1" applyAlignment="1">
      <alignment vertical="top" wrapText="1"/>
      <protection/>
    </xf>
    <xf numFmtId="0" fontId="34" fillId="38" borderId="87" xfId="92" applyFont="1" applyFill="1" applyBorder="1" applyAlignment="1">
      <alignment horizontal="left" vertical="top"/>
      <protection/>
    </xf>
    <xf numFmtId="0" fontId="34" fillId="38" borderId="66" xfId="92" applyFont="1" applyFill="1" applyBorder="1" applyAlignment="1">
      <alignment horizontal="left" vertical="top"/>
      <protection/>
    </xf>
    <xf numFmtId="0" fontId="34" fillId="38" borderId="13" xfId="92" applyFont="1" applyFill="1" applyBorder="1" applyAlignment="1">
      <alignment horizontal="left" vertical="top"/>
      <protection/>
    </xf>
    <xf numFmtId="0" fontId="34" fillId="38" borderId="17" xfId="92" applyFont="1" applyFill="1" applyBorder="1" applyAlignment="1">
      <alignment horizontal="left" vertical="top" wrapText="1"/>
      <protection/>
    </xf>
    <xf numFmtId="4" fontId="34" fillId="38" borderId="17" xfId="92" applyNumberFormat="1" applyFont="1" applyFill="1" applyBorder="1" applyAlignment="1">
      <alignment horizontal="right" vertical="top"/>
      <protection/>
    </xf>
    <xf numFmtId="4" fontId="34" fillId="38" borderId="66" xfId="92" applyNumberFormat="1" applyFont="1" applyFill="1" applyBorder="1" applyAlignment="1">
      <alignment horizontal="right" vertical="top"/>
      <protection/>
    </xf>
    <xf numFmtId="4" fontId="34" fillId="38" borderId="110" xfId="92" applyNumberFormat="1" applyFont="1" applyFill="1" applyBorder="1" applyAlignment="1">
      <alignment horizontal="right" vertical="top"/>
      <protection/>
    </xf>
    <xf numFmtId="4" fontId="142" fillId="38" borderId="13" xfId="92" applyNumberFormat="1" applyFont="1" applyFill="1" applyBorder="1" applyAlignment="1">
      <alignment horizontal="right" vertical="top"/>
      <protection/>
    </xf>
    <xf numFmtId="10" fontId="34" fillId="38" borderId="17" xfId="92" applyNumberFormat="1" applyFont="1" applyFill="1" applyBorder="1" applyAlignment="1">
      <alignment horizontal="right" vertical="top"/>
      <protection/>
    </xf>
    <xf numFmtId="0" fontId="14" fillId="0" borderId="142" xfId="92" applyFont="1" applyBorder="1">
      <alignment/>
      <protection/>
    </xf>
    <xf numFmtId="0" fontId="29" fillId="35" borderId="11" xfId="92" applyFont="1" applyFill="1" applyBorder="1" applyAlignment="1">
      <alignment horizontal="left" vertical="top"/>
      <protection/>
    </xf>
    <xf numFmtId="0" fontId="29" fillId="35" borderId="11" xfId="92" applyFont="1" applyFill="1" applyBorder="1" applyAlignment="1">
      <alignment horizontal="left" vertical="top" wrapText="1"/>
      <protection/>
    </xf>
    <xf numFmtId="4" fontId="29" fillId="35" borderId="11" xfId="92" applyNumberFormat="1" applyFont="1" applyFill="1" applyBorder="1" applyAlignment="1">
      <alignment horizontal="right" vertical="top" wrapText="1"/>
      <protection/>
    </xf>
    <xf numFmtId="4" fontId="29" fillId="35" borderId="54" xfId="92" applyNumberFormat="1" applyFont="1" applyFill="1" applyBorder="1" applyAlignment="1">
      <alignment horizontal="right" vertical="top" wrapText="1"/>
      <protection/>
    </xf>
    <xf numFmtId="4" fontId="29" fillId="35" borderId="94" xfId="92" applyNumberFormat="1" applyFont="1" applyFill="1" applyBorder="1" applyAlignment="1">
      <alignment horizontal="right" vertical="top" wrapText="1"/>
      <protection/>
    </xf>
    <xf numFmtId="4" fontId="143" fillId="35" borderId="12" xfId="92" applyNumberFormat="1" applyFont="1" applyFill="1" applyBorder="1" applyAlignment="1">
      <alignment horizontal="right" vertical="top" wrapText="1"/>
      <protection/>
    </xf>
    <xf numFmtId="10" fontId="29" fillId="35" borderId="11" xfId="92" applyNumberFormat="1" applyFont="1" applyFill="1" applyBorder="1" applyAlignment="1">
      <alignment horizontal="right" vertical="top" wrapText="1"/>
      <protection/>
    </xf>
    <xf numFmtId="0" fontId="14" fillId="0" borderId="89" xfId="92" applyFont="1" applyBorder="1">
      <alignment/>
      <protection/>
    </xf>
    <xf numFmtId="0" fontId="14" fillId="0" borderId="0" xfId="92" applyFont="1" applyBorder="1" applyAlignment="1">
      <alignment horizontal="left"/>
      <protection/>
    </xf>
    <xf numFmtId="0" fontId="14" fillId="0" borderId="91" xfId="92" applyFont="1" applyBorder="1">
      <alignment/>
      <protection/>
    </xf>
    <xf numFmtId="0" fontId="14" fillId="0" borderId="21" xfId="92" applyFont="1" applyBorder="1" applyAlignment="1">
      <alignment horizontal="left"/>
      <protection/>
    </xf>
    <xf numFmtId="0" fontId="29" fillId="0" borderId="21" xfId="92" applyFont="1" applyBorder="1" applyAlignment="1" quotePrefix="1">
      <alignment horizontal="left"/>
      <protection/>
    </xf>
    <xf numFmtId="0" fontId="43" fillId="0" borderId="21" xfId="92" applyFont="1" applyBorder="1" applyAlignment="1">
      <alignment horizontal="right"/>
      <protection/>
    </xf>
    <xf numFmtId="4" fontId="34" fillId="0" borderId="21" xfId="92" applyNumberFormat="1" applyFont="1" applyBorder="1" applyAlignment="1">
      <alignment horizontal="right"/>
      <protection/>
    </xf>
    <xf numFmtId="4" fontId="34" fillId="0" borderId="92" xfId="92" applyNumberFormat="1" applyFont="1" applyBorder="1" applyAlignment="1">
      <alignment horizontal="right"/>
      <protection/>
    </xf>
    <xf numFmtId="4" fontId="34" fillId="0" borderId="111" xfId="92" applyNumberFormat="1" applyFont="1" applyBorder="1" applyAlignment="1">
      <alignment horizontal="right"/>
      <protection/>
    </xf>
    <xf numFmtId="4" fontId="142" fillId="0" borderId="143" xfId="92" applyNumberFormat="1" applyFont="1" applyBorder="1" applyAlignment="1">
      <alignment horizontal="right"/>
      <protection/>
    </xf>
    <xf numFmtId="10" fontId="34" fillId="0" borderId="21" xfId="92" applyNumberFormat="1" applyFont="1" applyBorder="1" applyAlignment="1">
      <alignment horizontal="right"/>
      <protection/>
    </xf>
    <xf numFmtId="0" fontId="45" fillId="0" borderId="91" xfId="92" applyFont="1" applyBorder="1" applyAlignment="1">
      <alignment horizontal="left" vertical="center"/>
      <protection/>
    </xf>
    <xf numFmtId="0" fontId="45" fillId="0" borderId="21" xfId="92" applyFont="1" applyBorder="1" applyAlignment="1">
      <alignment vertical="center"/>
      <protection/>
    </xf>
    <xf numFmtId="0" fontId="36" fillId="0" borderId="21" xfId="92" applyFont="1" applyBorder="1" applyAlignment="1">
      <alignment horizontal="center" vertical="center"/>
      <protection/>
    </xf>
    <xf numFmtId="0" fontId="36" fillId="0" borderId="21" xfId="92" applyFont="1" applyBorder="1" applyAlignment="1">
      <alignment horizontal="center" vertical="center" wrapText="1"/>
      <protection/>
    </xf>
    <xf numFmtId="0" fontId="36" fillId="0" borderId="84" xfId="92" applyFont="1" applyBorder="1" applyAlignment="1">
      <alignment horizontal="center" vertical="center" wrapText="1"/>
      <protection/>
    </xf>
    <xf numFmtId="0" fontId="61" fillId="0" borderId="111" xfId="92" applyFont="1" applyBorder="1" applyAlignment="1">
      <alignment horizontal="center" vertical="center" wrapText="1"/>
      <protection/>
    </xf>
    <xf numFmtId="0" fontId="45" fillId="0" borderId="144" xfId="92" applyFont="1" applyBorder="1" applyAlignment="1">
      <alignment vertical="center" wrapText="1"/>
      <protection/>
    </xf>
    <xf numFmtId="0" fontId="60" fillId="0" borderId="144" xfId="92" applyFont="1" applyBorder="1" applyAlignment="1">
      <alignment vertical="top" wrapText="1"/>
      <protection/>
    </xf>
    <xf numFmtId="0" fontId="34" fillId="0" borderId="111" xfId="92" applyFont="1" applyBorder="1" applyAlignment="1">
      <alignment horizontal="center" vertical="center" wrapText="1"/>
      <protection/>
    </xf>
    <xf numFmtId="0" fontId="14" fillId="0" borderId="0" xfId="92" applyFont="1">
      <alignment/>
      <protection/>
    </xf>
    <xf numFmtId="0" fontId="60" fillId="0" borderId="92" xfId="92" applyFont="1" applyBorder="1" applyAlignment="1">
      <alignment horizontal="center" vertical="center" wrapText="1"/>
      <protection/>
    </xf>
    <xf numFmtId="0" fontId="19" fillId="0" borderId="21" xfId="92" applyFont="1" applyBorder="1" applyAlignment="1">
      <alignment vertical="center" wrapText="1"/>
      <protection/>
    </xf>
    <xf numFmtId="0" fontId="34" fillId="38" borderId="90" xfId="92" applyFont="1" applyFill="1" applyBorder="1" applyAlignment="1">
      <alignment horizontal="left" vertical="top"/>
      <protection/>
    </xf>
    <xf numFmtId="0" fontId="34" fillId="38" borderId="82" xfId="92" applyFont="1" applyFill="1" applyBorder="1" applyAlignment="1">
      <alignment horizontal="left" vertical="top"/>
      <protection/>
    </xf>
    <xf numFmtId="0" fontId="34" fillId="38" borderId="12" xfId="92" applyFont="1" applyFill="1" applyBorder="1" applyAlignment="1">
      <alignment horizontal="left" vertical="top"/>
      <protection/>
    </xf>
    <xf numFmtId="0" fontId="34" fillId="38" borderId="11" xfId="92" applyFont="1" applyFill="1" applyBorder="1" applyAlignment="1">
      <alignment horizontal="left" vertical="top" wrapText="1"/>
      <protection/>
    </xf>
    <xf numFmtId="4" fontId="34" fillId="38" borderId="11" xfId="92" applyNumberFormat="1" applyFont="1" applyFill="1" applyBorder="1" applyAlignment="1">
      <alignment horizontal="right" vertical="top" wrapText="1"/>
      <protection/>
    </xf>
    <xf numFmtId="4" fontId="34" fillId="38" borderId="54" xfId="92" applyNumberFormat="1" applyFont="1" applyFill="1" applyBorder="1" applyAlignment="1">
      <alignment horizontal="right" vertical="top" wrapText="1"/>
      <protection/>
    </xf>
    <xf numFmtId="4" fontId="34" fillId="38" borderId="110" xfId="92" applyNumberFormat="1" applyFont="1" applyFill="1" applyBorder="1" applyAlignment="1">
      <alignment horizontal="right" vertical="top" wrapText="1"/>
      <protection/>
    </xf>
    <xf numFmtId="4" fontId="142" fillId="38" borderId="110" xfId="92" applyNumberFormat="1" applyFont="1" applyFill="1" applyBorder="1" applyAlignment="1">
      <alignment horizontal="right" vertical="top" wrapText="1"/>
      <protection/>
    </xf>
    <xf numFmtId="10" fontId="34" fillId="38" borderId="145" xfId="92" applyNumberFormat="1" applyFont="1" applyFill="1" applyBorder="1" applyAlignment="1">
      <alignment horizontal="right" vertical="top" wrapText="1"/>
      <protection/>
    </xf>
    <xf numFmtId="4" fontId="34" fillId="38" borderId="17" xfId="92" applyNumberFormat="1" applyFont="1" applyFill="1" applyBorder="1" applyAlignment="1">
      <alignment horizontal="right" vertical="top" wrapText="1"/>
      <protection/>
    </xf>
    <xf numFmtId="0" fontId="14" fillId="0" borderId="88" xfId="92" applyFont="1" applyBorder="1" applyAlignment="1">
      <alignment vertical="top"/>
      <protection/>
    </xf>
    <xf numFmtId="0" fontId="36" fillId="35" borderId="11" xfId="92" applyFont="1" applyFill="1" applyBorder="1" applyAlignment="1">
      <alignment horizontal="left" vertical="top" wrapText="1"/>
      <protection/>
    </xf>
    <xf numFmtId="4" fontId="36" fillId="35" borderId="11" xfId="92" applyNumberFormat="1" applyFont="1" applyFill="1" applyBorder="1" applyAlignment="1">
      <alignment horizontal="right" vertical="top" wrapText="1"/>
      <protection/>
    </xf>
    <xf numFmtId="4" fontId="36" fillId="35" borderId="54" xfId="92" applyNumberFormat="1" applyFont="1" applyFill="1" applyBorder="1" applyAlignment="1">
      <alignment horizontal="right" vertical="top" wrapText="1"/>
      <protection/>
    </xf>
    <xf numFmtId="4" fontId="36" fillId="35" borderId="94" xfId="92" applyNumberFormat="1" applyFont="1" applyFill="1" applyBorder="1" applyAlignment="1">
      <alignment horizontal="right" vertical="top" wrapText="1"/>
      <protection/>
    </xf>
    <xf numFmtId="4" fontId="138" fillId="35" borderId="94" xfId="92" applyNumberFormat="1" applyFont="1" applyFill="1" applyBorder="1" applyAlignment="1">
      <alignment horizontal="right" vertical="top" wrapText="1"/>
      <protection/>
    </xf>
    <xf numFmtId="10" fontId="36" fillId="35" borderId="146" xfId="92" applyNumberFormat="1" applyFont="1" applyFill="1" applyBorder="1" applyAlignment="1">
      <alignment horizontal="right" vertical="top" wrapText="1"/>
      <protection/>
    </xf>
    <xf numFmtId="0" fontId="14" fillId="0" borderId="89" xfId="92" applyFont="1" applyBorder="1" applyAlignment="1">
      <alignment vertical="top"/>
      <protection/>
    </xf>
    <xf numFmtId="0" fontId="14" fillId="0" borderId="14" xfId="92" applyFont="1" applyBorder="1" applyAlignment="1">
      <alignment horizontal="left" vertical="top"/>
      <protection/>
    </xf>
    <xf numFmtId="0" fontId="14" fillId="0" borderId="15" xfId="92" applyFont="1" applyBorder="1" applyAlignment="1">
      <alignment horizontal="left" vertical="top"/>
      <protection/>
    </xf>
    <xf numFmtId="0" fontId="29" fillId="0" borderId="0" xfId="92" applyFont="1">
      <alignment/>
      <protection/>
    </xf>
    <xf numFmtId="0" fontId="29" fillId="37" borderId="15" xfId="92" applyFont="1" applyFill="1" applyBorder="1" applyAlignment="1">
      <alignment horizontal="left" vertical="top"/>
      <protection/>
    </xf>
    <xf numFmtId="10" fontId="29" fillId="37" borderId="95" xfId="92" applyNumberFormat="1" applyFont="1" applyFill="1" applyBorder="1" applyAlignment="1">
      <alignment horizontal="right" vertical="top"/>
      <protection/>
    </xf>
    <xf numFmtId="49" fontId="37" fillId="37" borderId="14" xfId="92" applyNumberFormat="1" applyFont="1" applyFill="1" applyBorder="1" applyAlignment="1">
      <alignment horizontal="left" vertical="top"/>
      <protection/>
    </xf>
    <xf numFmtId="0" fontId="37" fillId="0" borderId="14" xfId="92" applyFont="1" applyBorder="1" applyAlignment="1">
      <alignment horizontal="left" vertical="top" wrapText="1"/>
      <protection/>
    </xf>
    <xf numFmtId="4" fontId="37" fillId="37" borderId="147" xfId="92" applyNumberFormat="1" applyFont="1" applyFill="1" applyBorder="1" applyAlignment="1">
      <alignment horizontal="right" vertical="top"/>
      <protection/>
    </xf>
    <xf numFmtId="0" fontId="29" fillId="0" borderId="148" xfId="92" applyFont="1" applyBorder="1" applyAlignment="1">
      <alignment vertical="top"/>
      <protection/>
    </xf>
    <xf numFmtId="0" fontId="29" fillId="0" borderId="142" xfId="92" applyFont="1" applyBorder="1">
      <alignment/>
      <protection/>
    </xf>
    <xf numFmtId="0" fontId="29" fillId="0" borderId="95" xfId="92" applyFont="1" applyBorder="1">
      <alignment/>
      <protection/>
    </xf>
    <xf numFmtId="10" fontId="29" fillId="0" borderId="67" xfId="92" applyNumberFormat="1" applyFont="1" applyBorder="1">
      <alignment/>
      <protection/>
    </xf>
    <xf numFmtId="0" fontId="29" fillId="0" borderId="14" xfId="92" applyFont="1" applyBorder="1">
      <alignment/>
      <protection/>
    </xf>
    <xf numFmtId="49" fontId="37" fillId="37" borderId="15" xfId="92" applyNumberFormat="1" applyFont="1" applyFill="1" applyBorder="1" applyAlignment="1">
      <alignment horizontal="left" vertical="top"/>
      <protection/>
    </xf>
    <xf numFmtId="0" fontId="37" fillId="0" borderId="149" xfId="92" applyFont="1" applyBorder="1" applyAlignment="1">
      <alignment horizontal="left" vertical="top" wrapText="1"/>
      <protection/>
    </xf>
    <xf numFmtId="4" fontId="37" fillId="0" borderId="149" xfId="92" applyNumberFormat="1" applyFont="1" applyBorder="1" applyAlignment="1">
      <alignment horizontal="right" vertical="center" wrapText="1"/>
      <protection/>
    </xf>
    <xf numFmtId="4" fontId="37" fillId="37" borderId="150" xfId="92" applyNumberFormat="1" applyFont="1" applyFill="1" applyBorder="1" applyAlignment="1">
      <alignment horizontal="right" vertical="center"/>
      <protection/>
    </xf>
    <xf numFmtId="10" fontId="29" fillId="37" borderId="151" xfId="92" applyNumberFormat="1" applyFont="1" applyFill="1" applyBorder="1" applyAlignment="1">
      <alignment horizontal="right" vertical="center"/>
      <protection/>
    </xf>
    <xf numFmtId="4" fontId="37" fillId="0" borderId="152" xfId="92" applyNumberFormat="1" applyFont="1" applyBorder="1" applyAlignment="1">
      <alignment vertical="center"/>
      <protection/>
    </xf>
    <xf numFmtId="10" fontId="29" fillId="0" borderId="152" xfId="92" applyNumberFormat="1" applyFont="1" applyBorder="1" applyAlignment="1">
      <alignment vertical="center"/>
      <protection/>
    </xf>
    <xf numFmtId="4" fontId="37" fillId="0" borderId="151" xfId="92" applyNumberFormat="1" applyFont="1" applyBorder="1" applyAlignment="1">
      <alignment vertical="center"/>
      <protection/>
    </xf>
    <xf numFmtId="4" fontId="29" fillId="0" borderId="150" xfId="92" applyNumberFormat="1" applyFont="1" applyBorder="1">
      <alignment/>
      <protection/>
    </xf>
    <xf numFmtId="10" fontId="37" fillId="0" borderId="153" xfId="92" applyNumberFormat="1" applyFont="1" applyBorder="1" applyAlignment="1">
      <alignment horizontal="right" vertical="center"/>
      <protection/>
    </xf>
    <xf numFmtId="4" fontId="37" fillId="0" borderId="149" xfId="92" applyNumberFormat="1" applyFont="1" applyBorder="1" applyAlignment="1">
      <alignment vertical="center"/>
      <protection/>
    </xf>
    <xf numFmtId="4" fontId="37" fillId="0" borderId="149" xfId="92" applyNumberFormat="1" applyFont="1" applyBorder="1">
      <alignment/>
      <protection/>
    </xf>
    <xf numFmtId="10" fontId="37" fillId="0" borderId="152" xfId="92" applyNumberFormat="1" applyFont="1" applyBorder="1" applyAlignment="1">
      <alignment vertical="center"/>
      <protection/>
    </xf>
    <xf numFmtId="0" fontId="29" fillId="0" borderId="150" xfId="92" applyFont="1" applyBorder="1">
      <alignment/>
      <protection/>
    </xf>
    <xf numFmtId="4" fontId="29" fillId="0" borderId="152" xfId="92" applyNumberFormat="1" applyFont="1" applyBorder="1" applyAlignment="1">
      <alignment vertical="center"/>
      <protection/>
    </xf>
    <xf numFmtId="0" fontId="37" fillId="0" borderId="15" xfId="92" applyFont="1" applyBorder="1" applyAlignment="1">
      <alignment horizontal="left" vertical="top" wrapText="1"/>
      <protection/>
    </xf>
    <xf numFmtId="4" fontId="37" fillId="0" borderId="15" xfId="92" applyNumberFormat="1" applyFont="1" applyBorder="1" applyAlignment="1">
      <alignment horizontal="right" vertical="center" wrapText="1"/>
      <protection/>
    </xf>
    <xf numFmtId="4" fontId="37" fillId="37" borderId="0" xfId="92" applyNumberFormat="1" applyFont="1" applyFill="1" applyBorder="1" applyAlignment="1">
      <alignment horizontal="right" vertical="center"/>
      <protection/>
    </xf>
    <xf numFmtId="10" fontId="29" fillId="37" borderId="93" xfId="92" applyNumberFormat="1" applyFont="1" applyFill="1" applyBorder="1" applyAlignment="1">
      <alignment horizontal="right" vertical="center"/>
      <protection/>
    </xf>
    <xf numFmtId="4" fontId="29" fillId="0" borderId="0" xfId="92" applyNumberFormat="1" applyFont="1" applyBorder="1" applyAlignment="1">
      <alignment vertical="center"/>
      <protection/>
    </xf>
    <xf numFmtId="10" fontId="37" fillId="0" borderId="142" xfId="92" applyNumberFormat="1" applyFont="1" applyBorder="1" applyAlignment="1">
      <alignment vertical="center"/>
      <protection/>
    </xf>
    <xf numFmtId="10" fontId="37" fillId="0" borderId="25" xfId="92" applyNumberFormat="1" applyFont="1" applyBorder="1" applyAlignment="1">
      <alignment horizontal="right" vertical="center"/>
      <protection/>
    </xf>
    <xf numFmtId="0" fontId="14" fillId="0" borderId="91" xfId="92" applyFont="1" applyBorder="1" applyAlignment="1">
      <alignment vertical="top"/>
      <protection/>
    </xf>
    <xf numFmtId="0" fontId="14" fillId="0" borderId="21" xfId="92" applyFont="1" applyBorder="1" applyAlignment="1">
      <alignment horizontal="left" vertical="top"/>
      <protection/>
    </xf>
    <xf numFmtId="0" fontId="34" fillId="0" borderId="21" xfId="92" applyFont="1" applyBorder="1" applyAlignment="1">
      <alignment horizontal="right"/>
      <protection/>
    </xf>
    <xf numFmtId="4" fontId="14" fillId="0" borderId="84" xfId="92" applyNumberFormat="1" applyFont="1" applyBorder="1">
      <alignment/>
      <protection/>
    </xf>
    <xf numFmtId="10" fontId="34" fillId="0" borderId="21" xfId="92" applyNumberFormat="1" applyFont="1" applyBorder="1">
      <alignment/>
      <protection/>
    </xf>
    <xf numFmtId="4" fontId="34" fillId="0" borderId="21" xfId="92" applyNumberFormat="1" applyFont="1" applyBorder="1">
      <alignment/>
      <protection/>
    </xf>
    <xf numFmtId="0" fontId="54" fillId="0" borderId="0" xfId="92" applyFont="1" applyBorder="1">
      <alignment/>
      <protection/>
    </xf>
    <xf numFmtId="0" fontId="14" fillId="0" borderId="0" xfId="92" applyFont="1" applyBorder="1">
      <alignment/>
      <protection/>
    </xf>
    <xf numFmtId="0" fontId="14" fillId="0" borderId="0" xfId="92" applyFont="1" applyBorder="1" applyAlignment="1">
      <alignment/>
      <protection/>
    </xf>
    <xf numFmtId="4" fontId="14" fillId="0" borderId="0" xfId="92" applyNumberFormat="1" applyFont="1" applyBorder="1" applyAlignment="1">
      <alignment horizontal="left"/>
      <protection/>
    </xf>
    <xf numFmtId="0" fontId="14" fillId="0" borderId="0" xfId="92" applyFont="1" applyBorder="1" applyAlignment="1">
      <alignment vertical="top"/>
      <protection/>
    </xf>
    <xf numFmtId="4" fontId="14" fillId="0" borderId="0" xfId="92" applyNumberFormat="1" applyFont="1" applyBorder="1" applyAlignment="1">
      <alignment horizontal="left" vertical="top"/>
      <protection/>
    </xf>
    <xf numFmtId="0" fontId="19" fillId="0" borderId="0" xfId="92" applyFont="1" applyBorder="1" applyAlignment="1">
      <alignment horizontal="left" vertical="top" wrapText="1"/>
      <protection/>
    </xf>
    <xf numFmtId="0" fontId="19" fillId="0" borderId="0" xfId="92" applyFont="1" applyBorder="1" applyAlignment="1">
      <alignment horizontal="left" vertical="top"/>
      <protection/>
    </xf>
    <xf numFmtId="0" fontId="14" fillId="0" borderId="0" xfId="92" applyFont="1" applyBorder="1" applyAlignment="1">
      <alignment horizontal="left" vertical="top"/>
      <protection/>
    </xf>
    <xf numFmtId="0" fontId="14" fillId="0" borderId="0" xfId="92" applyFont="1" applyAlignment="1">
      <alignment horizontal="left" vertical="top"/>
      <protection/>
    </xf>
    <xf numFmtId="0" fontId="14" fillId="0" borderId="0" xfId="92" applyFont="1" applyAlignment="1">
      <alignment vertical="top"/>
      <protection/>
    </xf>
    <xf numFmtId="4" fontId="14" fillId="0" borderId="0" xfId="92" applyNumberFormat="1" applyFont="1" applyAlignment="1">
      <alignment horizontal="left" vertical="top"/>
      <protection/>
    </xf>
    <xf numFmtId="4" fontId="34" fillId="0" borderId="0" xfId="92" applyNumberFormat="1" applyFont="1" applyAlignment="1">
      <alignment horizontal="left" vertical="center"/>
      <protection/>
    </xf>
    <xf numFmtId="0" fontId="34" fillId="0" borderId="0" xfId="92" applyFont="1">
      <alignment/>
      <protection/>
    </xf>
    <xf numFmtId="0" fontId="14" fillId="0" borderId="0" xfId="92" applyFont="1" applyAlignment="1">
      <alignment horizontal="center"/>
      <protection/>
    </xf>
    <xf numFmtId="4" fontId="14" fillId="0" borderId="0" xfId="92" applyNumberFormat="1" applyFont="1">
      <alignment/>
      <protection/>
    </xf>
    <xf numFmtId="4" fontId="34" fillId="0" borderId="0" xfId="92" applyNumberFormat="1" applyFont="1">
      <alignment/>
      <protection/>
    </xf>
    <xf numFmtId="0" fontId="34" fillId="0" borderId="11" xfId="92" applyFont="1" applyBorder="1" applyAlignment="1">
      <alignment horizontal="left" vertical="top" wrapText="1"/>
      <protection/>
    </xf>
    <xf numFmtId="4" fontId="34" fillId="0" borderId="11" xfId="92" applyNumberFormat="1" applyFont="1" applyBorder="1" applyAlignment="1">
      <alignment horizontal="right" vertical="top" wrapText="1"/>
      <protection/>
    </xf>
    <xf numFmtId="4" fontId="34" fillId="0" borderId="54" xfId="92" applyNumberFormat="1" applyFont="1" applyBorder="1" applyAlignment="1">
      <alignment horizontal="right" vertical="top" wrapText="1"/>
      <protection/>
    </xf>
    <xf numFmtId="4" fontId="34" fillId="0" borderId="94" xfId="92" applyNumberFormat="1" applyFont="1" applyBorder="1" applyAlignment="1">
      <alignment horizontal="right" vertical="top" wrapText="1"/>
      <protection/>
    </xf>
    <xf numFmtId="4" fontId="142" fillId="0" borderId="94" xfId="92" applyNumberFormat="1" applyFont="1" applyBorder="1" applyAlignment="1">
      <alignment horizontal="right" vertical="top" wrapText="1"/>
      <protection/>
    </xf>
    <xf numFmtId="10" fontId="34" fillId="0" borderId="146" xfId="92" applyNumberFormat="1" applyFont="1" applyBorder="1" applyAlignment="1">
      <alignment horizontal="right" vertical="top" wrapText="1"/>
      <protection/>
    </xf>
    <xf numFmtId="0" fontId="54" fillId="0" borderId="11" xfId="92" applyFont="1" applyBorder="1" applyAlignment="1">
      <alignment horizontal="left" vertical="top" wrapText="1"/>
      <protection/>
    </xf>
    <xf numFmtId="4" fontId="53" fillId="0" borderId="14" xfId="92" applyNumberFormat="1" applyFont="1" applyBorder="1" applyAlignment="1">
      <alignment horizontal="right" vertical="top" wrapText="1"/>
      <protection/>
    </xf>
    <xf numFmtId="4" fontId="53" fillId="0" borderId="147" xfId="92" applyNumberFormat="1" applyFont="1" applyBorder="1" applyAlignment="1">
      <alignment horizontal="right" vertical="top"/>
      <protection/>
    </xf>
    <xf numFmtId="10" fontId="53" fillId="0" borderId="95" xfId="92" applyNumberFormat="1" applyFont="1" applyBorder="1" applyAlignment="1">
      <alignment horizontal="right" vertical="top"/>
      <protection/>
    </xf>
    <xf numFmtId="4" fontId="53" fillId="0" borderId="146" xfId="92" applyNumberFormat="1" applyFont="1" applyBorder="1" applyAlignment="1">
      <alignment vertical="top"/>
      <protection/>
    </xf>
    <xf numFmtId="4" fontId="14" fillId="0" borderId="146" xfId="92" applyNumberFormat="1" applyFont="1" applyBorder="1" applyAlignment="1">
      <alignment horizontal="right" vertical="top" wrapText="1"/>
      <protection/>
    </xf>
    <xf numFmtId="4" fontId="53" fillId="0" borderId="94" xfId="92" applyNumberFormat="1" applyFont="1" applyBorder="1">
      <alignment/>
      <protection/>
    </xf>
    <xf numFmtId="4" fontId="53" fillId="0" borderId="0" xfId="92" applyNumberFormat="1" applyFont="1">
      <alignment/>
      <protection/>
    </xf>
    <xf numFmtId="4" fontId="53" fillId="0" borderId="11" xfId="92" applyNumberFormat="1" applyFont="1" applyBorder="1">
      <alignment/>
      <protection/>
    </xf>
    <xf numFmtId="10" fontId="53" fillId="0" borderId="147" xfId="92" applyNumberFormat="1" applyFont="1" applyBorder="1" applyAlignment="1">
      <alignment horizontal="right" vertical="top"/>
      <protection/>
    </xf>
    <xf numFmtId="4" fontId="53" fillId="0" borderId="40" xfId="92" applyNumberFormat="1" applyFont="1" applyBorder="1" applyAlignment="1">
      <alignment vertical="top"/>
      <protection/>
    </xf>
    <xf numFmtId="4" fontId="14" fillId="0" borderId="40" xfId="92" applyNumberFormat="1" applyFont="1" applyBorder="1" applyAlignment="1">
      <alignment horizontal="right" vertical="top" wrapText="1"/>
      <protection/>
    </xf>
    <xf numFmtId="49" fontId="20" fillId="44" borderId="25" xfId="89" applyNumberFormat="1" applyFont="1" applyFill="1" applyBorder="1" applyAlignment="1" applyProtection="1">
      <alignment vertical="top" wrapText="1"/>
      <protection locked="0"/>
    </xf>
    <xf numFmtId="49" fontId="20" fillId="44" borderId="68" xfId="89" applyNumberFormat="1" applyFont="1" applyFill="1" applyBorder="1" applyAlignment="1" applyProtection="1">
      <alignment horizontal="left" vertical="center" wrapText="1"/>
      <protection locked="0"/>
    </xf>
    <xf numFmtId="49" fontId="62" fillId="44" borderId="11" xfId="89" applyNumberFormat="1" applyFont="1" applyFill="1" applyBorder="1" applyAlignment="1" applyProtection="1">
      <alignment horizontal="left" vertical="top" wrapText="1"/>
      <protection locked="0"/>
    </xf>
    <xf numFmtId="4" fontId="53" fillId="0" borderId="146" xfId="92" applyNumberFormat="1" applyFont="1" applyBorder="1" applyAlignment="1">
      <alignment horizontal="right" vertical="top" wrapText="1"/>
      <protection/>
    </xf>
    <xf numFmtId="49" fontId="62" fillId="44" borderId="11" xfId="89" applyNumberFormat="1" applyFont="1" applyFill="1" applyBorder="1" applyAlignment="1" applyProtection="1">
      <alignment horizontal="left" vertical="center" wrapText="1"/>
      <protection locked="0"/>
    </xf>
    <xf numFmtId="0" fontId="53" fillId="0" borderId="11" xfId="92" applyFont="1" applyBorder="1" applyAlignment="1">
      <alignment horizontal="left" vertical="top" wrapText="1"/>
      <protection/>
    </xf>
    <xf numFmtId="4" fontId="53" fillId="0" borderId="40" xfId="92" applyNumberFormat="1" applyFont="1" applyBorder="1" applyAlignment="1">
      <alignment horizontal="right" vertical="top" wrapText="1"/>
      <protection/>
    </xf>
    <xf numFmtId="0" fontId="34" fillId="0" borderId="14" xfId="92" applyFont="1" applyBorder="1" applyAlignment="1">
      <alignment horizontal="left" vertical="top"/>
      <protection/>
    </xf>
    <xf numFmtId="0" fontId="34" fillId="0" borderId="14" xfId="92" applyFont="1" applyBorder="1" applyAlignment="1">
      <alignment horizontal="left" vertical="top" wrapText="1"/>
      <protection/>
    </xf>
    <xf numFmtId="0" fontId="53" fillId="0" borderId="14" xfId="92" applyFont="1" applyBorder="1" applyAlignment="1">
      <alignment horizontal="left" vertical="top" wrapText="1"/>
      <protection/>
    </xf>
    <xf numFmtId="4" fontId="53" fillId="0" borderId="11" xfId="92" applyNumberFormat="1" applyFont="1" applyBorder="1" applyAlignment="1">
      <alignment horizontal="right" vertical="top" wrapText="1"/>
      <protection/>
    </xf>
    <xf numFmtId="0" fontId="14" fillId="0" borderId="17" xfId="92" applyFont="1" applyBorder="1" applyAlignment="1">
      <alignment horizontal="center" vertical="top"/>
      <protection/>
    </xf>
    <xf numFmtId="0" fontId="34" fillId="0" borderId="11" xfId="92" applyFont="1" applyBorder="1" applyAlignment="1">
      <alignment horizontal="left" vertical="top"/>
      <protection/>
    </xf>
    <xf numFmtId="49" fontId="34" fillId="0" borderId="11" xfId="92" applyNumberFormat="1" applyFont="1" applyBorder="1" applyAlignment="1">
      <alignment horizontal="left" vertical="top" wrapText="1"/>
      <protection/>
    </xf>
    <xf numFmtId="4" fontId="14" fillId="0" borderId="11" xfId="92" applyNumberFormat="1" applyFont="1" applyBorder="1" applyAlignment="1">
      <alignment horizontal="right" vertical="top" wrapText="1"/>
      <protection/>
    </xf>
    <xf numFmtId="10" fontId="14" fillId="0" borderId="95" xfId="92" applyNumberFormat="1" applyFont="1" applyBorder="1" applyAlignment="1">
      <alignment horizontal="right" vertical="top"/>
      <protection/>
    </xf>
    <xf numFmtId="4" fontId="14" fillId="0" borderId="146" xfId="92" applyNumberFormat="1" applyFont="1" applyBorder="1" applyAlignment="1">
      <alignment vertical="top"/>
      <protection/>
    </xf>
    <xf numFmtId="0" fontId="14" fillId="0" borderId="146" xfId="92" applyFont="1" applyBorder="1" applyAlignment="1">
      <alignment vertical="top"/>
      <protection/>
    </xf>
    <xf numFmtId="4" fontId="14" fillId="0" borderId="94" xfId="92" applyNumberFormat="1" applyFont="1" applyBorder="1">
      <alignment/>
      <protection/>
    </xf>
    <xf numFmtId="0" fontId="34" fillId="0" borderId="17" xfId="92" applyFont="1" applyBorder="1" applyAlignment="1">
      <alignment horizontal="left" vertical="top"/>
      <protection/>
    </xf>
    <xf numFmtId="4" fontId="34" fillId="0" borderId="94" xfId="92" applyNumberFormat="1" applyFont="1" applyBorder="1">
      <alignment/>
      <protection/>
    </xf>
    <xf numFmtId="4" fontId="34" fillId="0" borderId="11" xfId="92" applyNumberFormat="1" applyFont="1" applyBorder="1">
      <alignment/>
      <protection/>
    </xf>
    <xf numFmtId="0" fontId="34" fillId="37" borderId="14" xfId="92" applyFont="1" applyFill="1" applyBorder="1" applyAlignment="1">
      <alignment horizontal="left" vertical="top"/>
      <protection/>
    </xf>
    <xf numFmtId="0" fontId="34" fillId="37" borderId="14" xfId="92" applyFont="1" applyFill="1" applyBorder="1" applyAlignment="1">
      <alignment horizontal="left" vertical="top" wrapText="1"/>
      <protection/>
    </xf>
    <xf numFmtId="4" fontId="34" fillId="37" borderId="14" xfId="92" applyNumberFormat="1" applyFont="1" applyFill="1" applyBorder="1" applyAlignment="1">
      <alignment horizontal="right" vertical="top" wrapText="1"/>
      <protection/>
    </xf>
    <xf numFmtId="4" fontId="14" fillId="37" borderId="147" xfId="92" applyNumberFormat="1" applyFont="1" applyFill="1" applyBorder="1" applyAlignment="1">
      <alignment horizontal="right" vertical="top"/>
      <protection/>
    </xf>
    <xf numFmtId="10" fontId="14" fillId="37" borderId="95" xfId="92" applyNumberFormat="1" applyFont="1" applyFill="1" applyBorder="1" applyAlignment="1">
      <alignment horizontal="right" vertical="top"/>
      <protection/>
    </xf>
    <xf numFmtId="10" fontId="14" fillId="0" borderId="146" xfId="92" applyNumberFormat="1" applyFont="1" applyBorder="1">
      <alignment/>
      <protection/>
    </xf>
    <xf numFmtId="4" fontId="144" fillId="0" borderId="94" xfId="92" applyNumberFormat="1" applyFont="1" applyBorder="1">
      <alignment/>
      <protection/>
    </xf>
    <xf numFmtId="4" fontId="14" fillId="0" borderId="11" xfId="92" applyNumberFormat="1" applyFont="1" applyBorder="1">
      <alignment/>
      <protection/>
    </xf>
    <xf numFmtId="4" fontId="34" fillId="0" borderId="14" xfId="92" applyNumberFormat="1" applyFont="1" applyBorder="1" applyAlignment="1">
      <alignment horizontal="right" vertical="top" wrapText="1"/>
      <protection/>
    </xf>
    <xf numFmtId="4" fontId="14" fillId="0" borderId="147" xfId="92" applyNumberFormat="1" applyFont="1" applyBorder="1" applyAlignment="1">
      <alignment horizontal="right" vertical="top" wrapText="1"/>
      <protection/>
    </xf>
    <xf numFmtId="4" fontId="34" fillId="0" borderId="40" xfId="92" applyNumberFormat="1" applyFont="1" applyBorder="1" applyAlignment="1">
      <alignment horizontal="right" vertical="top"/>
      <protection/>
    </xf>
    <xf numFmtId="49" fontId="34" fillId="37" borderId="11" xfId="92" applyNumberFormat="1" applyFont="1" applyFill="1" applyBorder="1" applyAlignment="1">
      <alignment horizontal="left" vertical="top"/>
      <protection/>
    </xf>
    <xf numFmtId="49" fontId="21" fillId="44" borderId="45" xfId="80" applyNumberFormat="1" applyFont="1" applyFill="1" applyBorder="1" applyAlignment="1" applyProtection="1">
      <alignment horizontal="left" vertical="top" wrapText="1"/>
      <protection locked="0"/>
    </xf>
    <xf numFmtId="4" fontId="142" fillId="0" borderId="11" xfId="92" applyNumberFormat="1" applyFont="1" applyBorder="1">
      <alignment/>
      <protection/>
    </xf>
    <xf numFmtId="0" fontId="34" fillId="0" borderId="15" xfId="92" applyFont="1" applyBorder="1" applyAlignment="1">
      <alignment horizontal="left" vertical="top"/>
      <protection/>
    </xf>
    <xf numFmtId="49" fontId="14" fillId="0" borderId="15" xfId="92" applyNumberFormat="1" applyFont="1" applyBorder="1" applyAlignment="1">
      <alignment horizontal="left" vertical="top" wrapText="1"/>
      <protection/>
    </xf>
    <xf numFmtId="4" fontId="34" fillId="0" borderId="15" xfId="92" applyNumberFormat="1" applyFont="1" applyBorder="1" applyAlignment="1">
      <alignment horizontal="right" vertical="top" wrapText="1"/>
      <protection/>
    </xf>
    <xf numFmtId="4" fontId="34" fillId="0" borderId="95" xfId="92" applyNumberFormat="1" applyFont="1" applyBorder="1" applyAlignment="1">
      <alignment vertical="top"/>
      <protection/>
    </xf>
    <xf numFmtId="4" fontId="142" fillId="0" borderId="14" xfId="92" applyNumberFormat="1" applyFont="1" applyBorder="1" applyAlignment="1">
      <alignment vertical="top"/>
      <protection/>
    </xf>
    <xf numFmtId="0" fontId="14" fillId="0" borderId="14" xfId="92" applyFont="1" applyBorder="1" applyAlignment="1" quotePrefix="1">
      <alignment horizontal="left" vertical="top"/>
      <protection/>
    </xf>
    <xf numFmtId="0" fontId="14" fillId="0" borderId="14" xfId="92" applyFont="1" applyBorder="1" applyAlignment="1">
      <alignment horizontal="left" vertical="top" wrapText="1"/>
      <protection/>
    </xf>
    <xf numFmtId="4" fontId="14" fillId="0" borderId="11" xfId="92" applyNumberFormat="1" applyFont="1" applyBorder="1" applyAlignment="1">
      <alignment horizontal="right" vertical="top"/>
      <protection/>
    </xf>
    <xf numFmtId="10" fontId="14" fillId="0" borderId="11" xfId="92" applyNumberFormat="1" applyFont="1" applyBorder="1" applyAlignment="1">
      <alignment horizontal="right" vertical="top"/>
      <protection/>
    </xf>
    <xf numFmtId="4" fontId="14" fillId="0" borderId="11" xfId="92" applyNumberFormat="1" applyFont="1" applyBorder="1" applyAlignment="1">
      <alignment vertical="top"/>
      <protection/>
    </xf>
    <xf numFmtId="4" fontId="14" fillId="0" borderId="54" xfId="92" applyNumberFormat="1" applyFont="1" applyBorder="1" applyAlignment="1">
      <alignment vertical="top"/>
      <protection/>
    </xf>
    <xf numFmtId="4" fontId="14" fillId="0" borderId="94" xfId="92" applyNumberFormat="1" applyFont="1" applyBorder="1" applyAlignment="1">
      <alignment vertical="top"/>
      <protection/>
    </xf>
    <xf numFmtId="10" fontId="34" fillId="0" borderId="11" xfId="92" applyNumberFormat="1" applyFont="1" applyBorder="1" applyAlignment="1">
      <alignment vertical="top" wrapText="1"/>
      <protection/>
    </xf>
    <xf numFmtId="0" fontId="14" fillId="0" borderId="11" xfId="92" applyFont="1" applyBorder="1" applyAlignment="1" quotePrefix="1">
      <alignment horizontal="left" vertical="top"/>
      <protection/>
    </xf>
    <xf numFmtId="0" fontId="14" fillId="0" borderId="11" xfId="92" applyFont="1" applyBorder="1" applyAlignment="1">
      <alignment horizontal="left" vertical="top"/>
      <protection/>
    </xf>
    <xf numFmtId="0" fontId="14" fillId="0" borderId="15" xfId="92" applyFont="1" applyBorder="1" applyAlignment="1" quotePrefix="1">
      <alignment horizontal="left" vertical="top"/>
      <protection/>
    </xf>
    <xf numFmtId="0" fontId="14" fillId="0" borderId="15" xfId="92" applyFont="1" applyBorder="1" applyAlignment="1">
      <alignment horizontal="left" vertical="top" wrapText="1"/>
      <protection/>
    </xf>
    <xf numFmtId="4" fontId="14" fillId="0" borderId="14" xfId="92" applyNumberFormat="1" applyFont="1" applyBorder="1" applyAlignment="1">
      <alignment horizontal="right" vertical="top" wrapText="1"/>
      <protection/>
    </xf>
    <xf numFmtId="4" fontId="14" fillId="0" borderId="14" xfId="92" applyNumberFormat="1" applyFont="1" applyBorder="1" applyAlignment="1">
      <alignment horizontal="right" vertical="top"/>
      <protection/>
    </xf>
    <xf numFmtId="10" fontId="14" fillId="0" borderId="14" xfId="92" applyNumberFormat="1" applyFont="1" applyBorder="1" applyAlignment="1">
      <alignment horizontal="right" vertical="top"/>
      <protection/>
    </xf>
    <xf numFmtId="4" fontId="14" fillId="0" borderId="14" xfId="92" applyNumberFormat="1" applyFont="1" applyBorder="1" applyAlignment="1">
      <alignment vertical="top"/>
      <protection/>
    </xf>
    <xf numFmtId="4" fontId="14" fillId="0" borderId="67" xfId="92" applyNumberFormat="1" applyFont="1" applyBorder="1" applyAlignment="1">
      <alignment vertical="top"/>
      <protection/>
    </xf>
    <xf numFmtId="4" fontId="14" fillId="0" borderId="95" xfId="92" applyNumberFormat="1" applyFont="1" applyBorder="1" applyAlignment="1">
      <alignment vertical="top"/>
      <protection/>
    </xf>
    <xf numFmtId="4" fontId="14" fillId="0" borderId="12" xfId="92" applyNumberFormat="1" applyFont="1" applyBorder="1" applyAlignment="1">
      <alignment vertical="top"/>
      <protection/>
    </xf>
    <xf numFmtId="4" fontId="14" fillId="0" borderId="23" xfId="92" applyNumberFormat="1" applyFont="1" applyBorder="1" applyAlignment="1">
      <alignment vertical="top"/>
      <protection/>
    </xf>
    <xf numFmtId="49" fontId="51" fillId="47" borderId="33" xfId="80" applyNumberFormat="1" applyFont="1" applyFill="1" applyBorder="1" applyAlignment="1" applyProtection="1">
      <alignment horizontal="center" vertical="center" wrapText="1"/>
      <protection locked="0"/>
    </xf>
    <xf numFmtId="0" fontId="51" fillId="37" borderId="0" xfId="80" applyNumberFormat="1" applyFont="1" applyFill="1" applyBorder="1" applyAlignment="1" applyProtection="1">
      <alignment horizontal="left"/>
      <protection locked="0"/>
    </xf>
    <xf numFmtId="0" fontId="20" fillId="0" borderId="17" xfId="80" applyNumberFormat="1" applyFont="1" applyFill="1" applyBorder="1" applyAlignment="1" applyProtection="1">
      <alignment horizontal="center" vertical="center" wrapText="1"/>
      <protection locked="0"/>
    </xf>
    <xf numFmtId="4" fontId="47" fillId="44" borderId="44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125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1" xfId="80" applyNumberFormat="1" applyFont="1" applyFill="1" applyBorder="1" applyAlignment="1" applyProtection="1">
      <alignment horizontal="right" vertical="center" wrapText="1"/>
      <protection locked="0"/>
    </xf>
    <xf numFmtId="10" fontId="35" fillId="47" borderId="11" xfId="80" applyNumberFormat="1" applyFont="1" applyFill="1" applyBorder="1" applyAlignment="1" applyProtection="1">
      <alignment horizontal="right" vertical="center" wrapText="1"/>
      <protection locked="0"/>
    </xf>
    <xf numFmtId="10" fontId="21" fillId="0" borderId="0" xfId="80" applyNumberFormat="1" applyFont="1" applyFill="1" applyBorder="1" applyAlignment="1" applyProtection="1">
      <alignment horizontal="left"/>
      <protection locked="0"/>
    </xf>
    <xf numFmtId="4" fontId="47" fillId="45" borderId="45" xfId="80" applyNumberFormat="1" applyFont="1" applyFill="1" applyBorder="1" applyAlignment="1" applyProtection="1">
      <alignment horizontal="right" vertical="center" wrapText="1"/>
      <protection locked="0"/>
    </xf>
    <xf numFmtId="10" fontId="47" fillId="45" borderId="12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94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54" xfId="80" applyNumberFormat="1" applyFont="1" applyFill="1" applyBorder="1" applyAlignment="1" applyProtection="1">
      <alignment horizontal="right" vertical="center" wrapText="1"/>
      <protection locked="0"/>
    </xf>
    <xf numFmtId="4" fontId="64" fillId="44" borderId="44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left" vertical="center" wrapText="1"/>
      <protection locked="0"/>
    </xf>
    <xf numFmtId="4" fontId="49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45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154" xfId="80" applyNumberFormat="1" applyFont="1" applyFill="1" applyBorder="1" applyAlignment="1" applyProtection="1">
      <alignment horizontal="right" vertical="center" wrapText="1"/>
      <protection locked="0"/>
    </xf>
    <xf numFmtId="10" fontId="49" fillId="46" borderId="44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55" xfId="80" applyNumberFormat="1" applyFont="1" applyFill="1" applyBorder="1" applyAlignment="1" applyProtection="1">
      <alignment horizontal="right" vertical="center"/>
      <protection locked="0"/>
    </xf>
    <xf numFmtId="4" fontId="51" fillId="0" borderId="90" xfId="80" applyNumberFormat="1" applyFont="1" applyFill="1" applyBorder="1" applyAlignment="1" applyProtection="1">
      <alignment horizontal="right" vertical="center"/>
      <protection locked="0"/>
    </xf>
    <xf numFmtId="49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2" fillId="44" borderId="11" xfId="8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74" applyNumberFormat="1" applyFont="1" applyFill="1" applyBorder="1" applyAlignment="1" applyProtection="1">
      <alignment horizontal="left"/>
      <protection locked="0"/>
    </xf>
    <xf numFmtId="0" fontId="20" fillId="0" borderId="0" xfId="74" applyNumberFormat="1" applyFont="1" applyFill="1" applyBorder="1" applyAlignment="1" applyProtection="1">
      <alignment horizontal="left"/>
      <protection locked="0"/>
    </xf>
    <xf numFmtId="0" fontId="21" fillId="0" borderId="0" xfId="72" applyNumberFormat="1" applyFont="1" applyFill="1" applyBorder="1" applyAlignment="1" applyProtection="1">
      <alignment horizontal="left"/>
      <protection locked="0"/>
    </xf>
    <xf numFmtId="0" fontId="20" fillId="0" borderId="0" xfId="72" applyNumberFormat="1" applyFont="1" applyFill="1" applyBorder="1" applyAlignment="1" applyProtection="1">
      <alignment horizontal="left"/>
      <protection locked="0"/>
    </xf>
    <xf numFmtId="0" fontId="68" fillId="0" borderId="15" xfId="72" applyNumberFormat="1" applyFont="1" applyFill="1" applyBorder="1" applyAlignment="1" applyProtection="1">
      <alignment horizontal="right" vertical="top"/>
      <protection locked="0"/>
    </xf>
    <xf numFmtId="0" fontId="67" fillId="0" borderId="15" xfId="72" applyNumberFormat="1" applyFont="1" applyFill="1" applyBorder="1" applyAlignment="1" applyProtection="1">
      <alignment horizontal="right" vertical="top"/>
      <protection locked="0"/>
    </xf>
    <xf numFmtId="0" fontId="51" fillId="0" borderId="156" xfId="74" applyNumberFormat="1" applyFont="1" applyFill="1" applyBorder="1" applyAlignment="1" applyProtection="1">
      <alignment horizontal="right" vertical="top"/>
      <protection locked="0"/>
    </xf>
    <xf numFmtId="0" fontId="21" fillId="0" borderId="25" xfId="74" applyNumberFormat="1" applyFont="1" applyFill="1" applyBorder="1" applyAlignment="1" applyProtection="1">
      <alignment horizontal="left"/>
      <protection locked="0"/>
    </xf>
    <xf numFmtId="0" fontId="5" fillId="0" borderId="157" xfId="80" applyNumberFormat="1" applyFont="1" applyFill="1" applyBorder="1" applyAlignment="1" applyProtection="1">
      <alignment horizontal="right"/>
      <protection locked="0"/>
    </xf>
    <xf numFmtId="0" fontId="5" fillId="0" borderId="158" xfId="74" applyNumberFormat="1" applyFont="1" applyFill="1" applyBorder="1" applyAlignment="1" applyProtection="1">
      <alignment horizontal="right" vertical="top" wrapText="1"/>
      <protection locked="0"/>
    </xf>
    <xf numFmtId="0" fontId="51" fillId="0" borderId="159" xfId="74" applyNumberFormat="1" applyFont="1" applyFill="1" applyBorder="1" applyAlignment="1" applyProtection="1">
      <alignment horizontal="right" vertical="top"/>
      <protection locked="0"/>
    </xf>
    <xf numFmtId="0" fontId="145" fillId="0" borderId="11" xfId="74" applyNumberFormat="1" applyFont="1" applyFill="1" applyBorder="1" applyAlignment="1" applyProtection="1">
      <alignment horizontal="left" vertical="center"/>
      <protection locked="0"/>
    </xf>
    <xf numFmtId="0" fontId="21" fillId="0" borderId="40" xfId="80" applyNumberFormat="1" applyFont="1" applyFill="1" applyBorder="1" applyAlignment="1" applyProtection="1">
      <alignment horizontal="left"/>
      <protection locked="0"/>
    </xf>
    <xf numFmtId="10" fontId="21" fillId="0" borderId="40" xfId="80" applyNumberFormat="1" applyFont="1" applyFill="1" applyBorder="1" applyAlignment="1" applyProtection="1">
      <alignment horizontal="left"/>
      <protection locked="0"/>
    </xf>
    <xf numFmtId="0" fontId="145" fillId="0" borderId="11" xfId="72" applyNumberFormat="1" applyFont="1" applyFill="1" applyBorder="1" applyAlignment="1" applyProtection="1">
      <alignment horizontal="left" vertical="center"/>
      <protection locked="0"/>
    </xf>
    <xf numFmtId="0" fontId="146" fillId="0" borderId="11" xfId="72" applyNumberFormat="1" applyFont="1" applyFill="1" applyBorder="1" applyAlignment="1" applyProtection="1">
      <alignment horizontal="left" vertical="center"/>
      <protection locked="0"/>
    </xf>
    <xf numFmtId="0" fontId="147" fillId="0" borderId="11" xfId="72" applyNumberFormat="1" applyFont="1" applyFill="1" applyBorder="1" applyAlignment="1" applyProtection="1">
      <alignment vertical="center" wrapText="1"/>
      <protection locked="0"/>
    </xf>
    <xf numFmtId="0" fontId="21" fillId="0" borderId="40" xfId="80" applyNumberFormat="1" applyFont="1" applyFill="1" applyBorder="1" applyAlignment="1" applyProtection="1">
      <alignment horizontal="right" vertical="top"/>
      <protection locked="0"/>
    </xf>
    <xf numFmtId="10" fontId="21" fillId="0" borderId="40" xfId="80" applyNumberFormat="1" applyFont="1" applyFill="1" applyBorder="1" applyAlignment="1" applyProtection="1">
      <alignment horizontal="right" vertical="top"/>
      <protection locked="0"/>
    </xf>
    <xf numFmtId="4" fontId="5" fillId="0" borderId="11" xfId="80" applyNumberFormat="1" applyFont="1" applyFill="1" applyBorder="1" applyAlignment="1" applyProtection="1">
      <alignment horizontal="right" vertical="top"/>
      <protection locked="0"/>
    </xf>
    <xf numFmtId="4" fontId="147" fillId="0" borderId="11" xfId="80" applyNumberFormat="1" applyFont="1" applyFill="1" applyBorder="1" applyAlignment="1" applyProtection="1">
      <alignment horizontal="right" vertical="center"/>
      <protection locked="0"/>
    </xf>
    <xf numFmtId="4" fontId="5" fillId="0" borderId="11" xfId="80" applyNumberFormat="1" applyFont="1" applyFill="1" applyBorder="1" applyAlignment="1" applyProtection="1">
      <alignment horizontal="right"/>
      <protection locked="0"/>
    </xf>
    <xf numFmtId="0" fontId="5" fillId="0" borderId="40" xfId="80" applyNumberFormat="1" applyFont="1" applyFill="1" applyBorder="1" applyAlignment="1" applyProtection="1">
      <alignment vertical="top"/>
      <protection locked="0"/>
    </xf>
    <xf numFmtId="10" fontId="5" fillId="0" borderId="40" xfId="80" applyNumberFormat="1" applyFont="1" applyFill="1" applyBorder="1" applyAlignment="1" applyProtection="1">
      <alignment vertical="top"/>
      <protection locked="0"/>
    </xf>
    <xf numFmtId="4" fontId="5" fillId="0" borderId="11" xfId="80" applyNumberFormat="1" applyFont="1" applyFill="1" applyBorder="1" applyAlignment="1" applyProtection="1">
      <alignment vertical="top"/>
      <protection locked="0"/>
    </xf>
    <xf numFmtId="0" fontId="51" fillId="0" borderId="15" xfId="72" applyNumberFormat="1" applyFont="1" applyFill="1" applyBorder="1" applyAlignment="1" applyProtection="1">
      <alignment horizontal="right" vertical="top"/>
      <protection locked="0"/>
    </xf>
    <xf numFmtId="0" fontId="51" fillId="0" borderId="54" xfId="72" applyNumberFormat="1" applyFont="1" applyFill="1" applyBorder="1" applyAlignment="1" applyProtection="1">
      <alignment vertical="top" wrapText="1"/>
      <protection locked="0"/>
    </xf>
    <xf numFmtId="0" fontId="51" fillId="0" borderId="67" xfId="72" applyNumberFormat="1" applyFont="1" applyFill="1" applyBorder="1" applyAlignment="1" applyProtection="1">
      <alignment vertical="top" wrapText="1"/>
      <protection locked="0"/>
    </xf>
    <xf numFmtId="173" fontId="5" fillId="0" borderId="11" xfId="80" applyNumberFormat="1" applyFont="1" applyFill="1" applyBorder="1" applyAlignment="1" applyProtection="1">
      <alignment horizontal="right" vertical="top"/>
      <protection locked="0"/>
    </xf>
    <xf numFmtId="4" fontId="148" fillId="0" borderId="40" xfId="80" applyNumberFormat="1" applyFont="1" applyFill="1" applyBorder="1" applyAlignment="1" applyProtection="1">
      <alignment horizontal="left"/>
      <protection locked="0"/>
    </xf>
    <xf numFmtId="0" fontId="149" fillId="0" borderId="54" xfId="72" applyNumberFormat="1" applyFont="1" applyFill="1" applyBorder="1" applyAlignment="1" applyProtection="1">
      <alignment vertical="top" wrapText="1"/>
      <protection locked="0"/>
    </xf>
    <xf numFmtId="4" fontId="149" fillId="0" borderId="11" xfId="80" applyNumberFormat="1" applyFont="1" applyFill="1" applyBorder="1" applyAlignment="1" applyProtection="1">
      <alignment vertical="top"/>
      <protection locked="0"/>
    </xf>
    <xf numFmtId="0" fontId="150" fillId="0" borderId="54" xfId="72" applyNumberFormat="1" applyFont="1" applyFill="1" applyBorder="1" applyAlignment="1" applyProtection="1">
      <alignment vertical="top" wrapText="1"/>
      <protection locked="0"/>
    </xf>
    <xf numFmtId="4" fontId="149" fillId="0" borderId="11" xfId="80" applyNumberFormat="1" applyFont="1" applyFill="1" applyBorder="1" applyAlignment="1" applyProtection="1">
      <alignment horizontal="right" vertical="top"/>
      <protection locked="0"/>
    </xf>
    <xf numFmtId="4" fontId="51" fillId="0" borderId="100" xfId="80" applyNumberFormat="1" applyFont="1" applyFill="1" applyBorder="1" applyAlignment="1" applyProtection="1">
      <alignment horizontal="right" vertical="center"/>
      <protection locked="0"/>
    </xf>
    <xf numFmtId="4" fontId="51" fillId="0" borderId="142" xfId="80" applyNumberFormat="1" applyFont="1" applyFill="1" applyBorder="1" applyAlignment="1" applyProtection="1">
      <alignment horizontal="right" vertical="center"/>
      <protection locked="0"/>
    </xf>
    <xf numFmtId="4" fontId="51" fillId="0" borderId="160" xfId="80" applyNumberFormat="1" applyFont="1" applyFill="1" applyBorder="1" applyAlignment="1" applyProtection="1">
      <alignment horizontal="right" vertical="center"/>
      <protection locked="0"/>
    </xf>
    <xf numFmtId="4" fontId="51" fillId="0" borderId="152" xfId="80" applyNumberFormat="1" applyFont="1" applyFill="1" applyBorder="1" applyAlignment="1" applyProtection="1">
      <alignment horizontal="right" vertical="center"/>
      <protection locked="0"/>
    </xf>
    <xf numFmtId="4" fontId="51" fillId="0" borderId="161" xfId="80" applyNumberFormat="1" applyFont="1" applyFill="1" applyBorder="1" applyAlignment="1" applyProtection="1">
      <alignment horizontal="right" vertical="top"/>
      <protection locked="0"/>
    </xf>
    <xf numFmtId="4" fontId="51" fillId="0" borderId="162" xfId="80" applyNumberFormat="1" applyFont="1" applyFill="1" applyBorder="1" applyAlignment="1" applyProtection="1">
      <alignment horizontal="right" vertical="center"/>
      <protection locked="0"/>
    </xf>
    <xf numFmtId="4" fontId="51" fillId="0" borderId="149" xfId="80" applyNumberFormat="1" applyFont="1" applyFill="1" applyBorder="1" applyAlignment="1" applyProtection="1">
      <alignment horizontal="right" vertical="center"/>
      <protection locked="0"/>
    </xf>
    <xf numFmtId="4" fontId="51" fillId="0" borderId="15" xfId="80" applyNumberFormat="1" applyFont="1" applyFill="1" applyBorder="1" applyAlignment="1" applyProtection="1">
      <alignment horizontal="right" vertical="center"/>
      <protection locked="0"/>
    </xf>
    <xf numFmtId="4" fontId="51" fillId="0" borderId="163" xfId="80" applyNumberFormat="1" applyFont="1" applyFill="1" applyBorder="1" applyAlignment="1" applyProtection="1">
      <alignment horizontal="right" vertical="top"/>
      <protection locked="0"/>
    </xf>
    <xf numFmtId="4" fontId="51" fillId="0" borderId="164" xfId="80" applyNumberFormat="1" applyFont="1" applyFill="1" applyBorder="1" applyAlignment="1" applyProtection="1">
      <alignment horizontal="right" vertical="center"/>
      <protection locked="0"/>
    </xf>
    <xf numFmtId="4" fontId="51" fillId="0" borderId="165" xfId="80" applyNumberFormat="1" applyFont="1" applyFill="1" applyBorder="1" applyAlignment="1" applyProtection="1">
      <alignment horizontal="right" vertical="top"/>
      <protection locked="0"/>
    </xf>
    <xf numFmtId="4" fontId="151" fillId="0" borderId="40" xfId="80" applyNumberFormat="1" applyFont="1" applyFill="1" applyBorder="1" applyAlignment="1" applyProtection="1">
      <alignment horizontal="right" vertical="center"/>
      <protection locked="0"/>
    </xf>
    <xf numFmtId="4" fontId="151" fillId="0" borderId="11" xfId="80" applyNumberFormat="1" applyFont="1" applyFill="1" applyBorder="1" applyAlignment="1" applyProtection="1">
      <alignment horizontal="right" vertical="center"/>
      <protection locked="0"/>
    </xf>
    <xf numFmtId="4" fontId="151" fillId="0" borderId="146" xfId="80" applyNumberFormat="1" applyFont="1" applyFill="1" applyBorder="1" applyAlignment="1" applyProtection="1">
      <alignment horizontal="right" vertical="center"/>
      <protection locked="0"/>
    </xf>
    <xf numFmtId="4" fontId="51" fillId="0" borderId="150" xfId="80" applyNumberFormat="1" applyFont="1" applyFill="1" applyBorder="1" applyAlignment="1" applyProtection="1">
      <alignment horizontal="right" vertical="center"/>
      <protection locked="0"/>
    </xf>
    <xf numFmtId="4" fontId="66" fillId="0" borderId="152" xfId="80" applyNumberFormat="1" applyFont="1" applyFill="1" applyBorder="1" applyAlignment="1" applyProtection="1">
      <alignment horizontal="right" vertical="center"/>
      <protection locked="0"/>
    </xf>
    <xf numFmtId="4" fontId="152" fillId="0" borderId="0" xfId="80" applyNumberFormat="1" applyFont="1" applyFill="1" applyBorder="1" applyAlignment="1" applyProtection="1">
      <alignment horizontal="right" vertical="center"/>
      <protection locked="0"/>
    </xf>
    <xf numFmtId="4" fontId="66" fillId="0" borderId="150" xfId="80" applyNumberFormat="1" applyFont="1" applyFill="1" applyBorder="1" applyAlignment="1" applyProtection="1">
      <alignment horizontal="right" vertical="center"/>
      <protection locked="0"/>
    </xf>
    <xf numFmtId="4" fontId="66" fillId="0" borderId="149" xfId="80" applyNumberFormat="1" applyFont="1" applyFill="1" applyBorder="1" applyAlignment="1" applyProtection="1">
      <alignment horizontal="right" vertical="center"/>
      <protection locked="0"/>
    </xf>
    <xf numFmtId="4" fontId="48" fillId="0" borderId="160" xfId="80" applyNumberFormat="1" applyFont="1" applyFill="1" applyBorder="1" applyAlignment="1" applyProtection="1">
      <alignment horizontal="right" vertical="center"/>
      <protection locked="0"/>
    </xf>
    <xf numFmtId="4" fontId="48" fillId="0" borderId="166" xfId="80" applyNumberFormat="1" applyFont="1" applyFill="1" applyBorder="1" applyAlignment="1" applyProtection="1">
      <alignment horizontal="right" vertical="center"/>
      <protection locked="0"/>
    </xf>
    <xf numFmtId="4" fontId="48" fillId="0" borderId="167" xfId="80" applyNumberFormat="1" applyFont="1" applyFill="1" applyBorder="1" applyAlignment="1" applyProtection="1">
      <alignment horizontal="right" vertical="center"/>
      <protection locked="0"/>
    </xf>
    <xf numFmtId="0" fontId="62" fillId="0" borderId="168" xfId="74" applyNumberFormat="1" applyFont="1" applyFill="1" applyBorder="1" applyAlignment="1" applyProtection="1">
      <alignment horizontal="left" vertical="top"/>
      <protection locked="0"/>
    </xf>
    <xf numFmtId="0" fontId="62" fillId="0" borderId="159" xfId="74" applyNumberFormat="1" applyFont="1" applyFill="1" applyBorder="1" applyAlignment="1" applyProtection="1">
      <alignment horizontal="left" vertical="top"/>
      <protection locked="0"/>
    </xf>
    <xf numFmtId="0" fontId="62" fillId="0" borderId="169" xfId="74" applyNumberFormat="1" applyFont="1" applyFill="1" applyBorder="1" applyAlignment="1" applyProtection="1">
      <alignment horizontal="left" vertical="top"/>
      <protection locked="0"/>
    </xf>
    <xf numFmtId="10" fontId="151" fillId="0" borderId="40" xfId="80" applyNumberFormat="1" applyFont="1" applyFill="1" applyBorder="1" applyAlignment="1" applyProtection="1">
      <alignment horizontal="right" vertical="center"/>
      <protection locked="0"/>
    </xf>
    <xf numFmtId="10" fontId="48" fillId="0" borderId="166" xfId="80" applyNumberFormat="1" applyFont="1" applyFill="1" applyBorder="1" applyAlignment="1" applyProtection="1">
      <alignment horizontal="right" vertical="center"/>
      <protection locked="0"/>
    </xf>
    <xf numFmtId="10" fontId="51" fillId="0" borderId="150" xfId="80" applyNumberFormat="1" applyFont="1" applyFill="1" applyBorder="1" applyAlignment="1" applyProtection="1">
      <alignment horizontal="right" vertical="center"/>
      <protection locked="0"/>
    </xf>
    <xf numFmtId="10" fontId="66" fillId="0" borderId="150" xfId="80" applyNumberFormat="1" applyFont="1" applyFill="1" applyBorder="1" applyAlignment="1" applyProtection="1">
      <alignment horizontal="right" vertical="center"/>
      <protection locked="0"/>
    </xf>
    <xf numFmtId="10" fontId="51" fillId="0" borderId="0" xfId="80" applyNumberFormat="1" applyFont="1" applyFill="1" applyBorder="1" applyAlignment="1" applyProtection="1">
      <alignment horizontal="right" vertical="center"/>
      <protection locked="0"/>
    </xf>
    <xf numFmtId="10" fontId="51" fillId="0" borderId="163" xfId="80" applyNumberFormat="1" applyFont="1" applyFill="1" applyBorder="1" applyAlignment="1" applyProtection="1">
      <alignment horizontal="right" vertical="center"/>
      <protection locked="0"/>
    </xf>
    <xf numFmtId="4" fontId="153" fillId="0" borderId="170" xfId="80" applyNumberFormat="1" applyFont="1" applyFill="1" applyBorder="1" applyAlignment="1" applyProtection="1">
      <alignment horizontal="right" vertical="center"/>
      <protection locked="0"/>
    </xf>
    <xf numFmtId="4" fontId="153" fillId="0" borderId="171" xfId="80" applyNumberFormat="1" applyFont="1" applyFill="1" applyBorder="1" applyAlignment="1" applyProtection="1">
      <alignment horizontal="right" vertical="center"/>
      <protection locked="0"/>
    </xf>
    <xf numFmtId="4" fontId="153" fillId="0" borderId="172" xfId="80" applyNumberFormat="1" applyFont="1" applyFill="1" applyBorder="1" applyAlignment="1" applyProtection="1">
      <alignment horizontal="right" vertical="center"/>
      <protection locked="0"/>
    </xf>
    <xf numFmtId="10" fontId="153" fillId="0" borderId="173" xfId="80" applyNumberFormat="1" applyFont="1" applyFill="1" applyBorder="1" applyAlignment="1" applyProtection="1">
      <alignment horizontal="right" vertical="center"/>
      <protection locked="0"/>
    </xf>
    <xf numFmtId="4" fontId="153" fillId="0" borderId="152" xfId="80" applyNumberFormat="1" applyFont="1" applyFill="1" applyBorder="1" applyAlignment="1" applyProtection="1">
      <alignment horizontal="right" vertical="center"/>
      <protection locked="0"/>
    </xf>
    <xf numFmtId="4" fontId="153" fillId="0" borderId="149" xfId="80" applyNumberFormat="1" applyFont="1" applyFill="1" applyBorder="1" applyAlignment="1" applyProtection="1">
      <alignment horizontal="right" vertical="center"/>
      <protection locked="0"/>
    </xf>
    <xf numFmtId="4" fontId="153" fillId="0" borderId="150" xfId="80" applyNumberFormat="1" applyFont="1" applyFill="1" applyBorder="1" applyAlignment="1" applyProtection="1">
      <alignment horizontal="right" vertical="center"/>
      <protection locked="0"/>
    </xf>
    <xf numFmtId="4" fontId="153" fillId="0" borderId="142" xfId="80" applyNumberFormat="1" applyFont="1" applyFill="1" applyBorder="1" applyAlignment="1" applyProtection="1">
      <alignment horizontal="right" vertical="center"/>
      <protection locked="0"/>
    </xf>
    <xf numFmtId="4" fontId="153" fillId="0" borderId="15" xfId="80" applyNumberFormat="1" applyFont="1" applyFill="1" applyBorder="1" applyAlignment="1" applyProtection="1">
      <alignment horizontal="right" vertical="center"/>
      <protection locked="0"/>
    </xf>
    <xf numFmtId="4" fontId="153" fillId="0" borderId="0" xfId="80" applyNumberFormat="1" applyFont="1" applyFill="1" applyBorder="1" applyAlignment="1" applyProtection="1">
      <alignment horizontal="right" vertical="center"/>
      <protection locked="0"/>
    </xf>
    <xf numFmtId="0" fontId="154" fillId="0" borderId="168" xfId="74" applyNumberFormat="1" applyFont="1" applyFill="1" applyBorder="1" applyAlignment="1" applyProtection="1">
      <alignment horizontal="right" vertical="top"/>
      <protection locked="0"/>
    </xf>
    <xf numFmtId="4" fontId="154" fillId="0" borderId="152" xfId="80" applyNumberFormat="1" applyFont="1" applyFill="1" applyBorder="1" applyAlignment="1" applyProtection="1">
      <alignment horizontal="right" vertical="center"/>
      <protection locked="0"/>
    </xf>
    <xf numFmtId="4" fontId="154" fillId="0" borderId="149" xfId="80" applyNumberFormat="1" applyFont="1" applyFill="1" applyBorder="1" applyAlignment="1" applyProtection="1">
      <alignment horizontal="right" vertical="center"/>
      <protection locked="0"/>
    </xf>
    <xf numFmtId="4" fontId="154" fillId="0" borderId="150" xfId="80" applyNumberFormat="1" applyFont="1" applyFill="1" applyBorder="1" applyAlignment="1" applyProtection="1">
      <alignment horizontal="right" vertical="center"/>
      <protection locked="0"/>
    </xf>
    <xf numFmtId="10" fontId="154" fillId="0" borderId="150" xfId="80" applyNumberFormat="1" applyFont="1" applyFill="1" applyBorder="1" applyAlignment="1" applyProtection="1">
      <alignment horizontal="right" vertical="center"/>
      <protection locked="0"/>
    </xf>
    <xf numFmtId="0" fontId="154" fillId="0" borderId="169" xfId="74" applyNumberFormat="1" applyFont="1" applyFill="1" applyBorder="1" applyAlignment="1" applyProtection="1">
      <alignment horizontal="right" vertical="top"/>
      <protection locked="0"/>
    </xf>
    <xf numFmtId="0" fontId="154" fillId="0" borderId="159" xfId="74" applyNumberFormat="1" applyFont="1" applyFill="1" applyBorder="1" applyAlignment="1" applyProtection="1">
      <alignment horizontal="right" vertical="top"/>
      <protection locked="0"/>
    </xf>
    <xf numFmtId="0" fontId="155" fillId="0" borderId="158" xfId="74" applyNumberFormat="1" applyFont="1" applyFill="1" applyBorder="1" applyAlignment="1" applyProtection="1">
      <alignment horizontal="right" vertical="top" wrapText="1"/>
      <protection locked="0"/>
    </xf>
    <xf numFmtId="4" fontId="154" fillId="0" borderId="174" xfId="80" applyNumberFormat="1" applyFont="1" applyFill="1" applyBorder="1" applyAlignment="1" applyProtection="1">
      <alignment horizontal="right" vertical="center"/>
      <protection locked="0"/>
    </xf>
    <xf numFmtId="4" fontId="51" fillId="45" borderId="154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54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44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4" xfId="80" applyNumberFormat="1" applyFont="1" applyFill="1" applyBorder="1" applyAlignment="1" applyProtection="1">
      <alignment horizontal="right" vertical="center"/>
      <protection locked="0"/>
    </xf>
    <xf numFmtId="4" fontId="51" fillId="37" borderId="94" xfId="80" applyNumberFormat="1" applyFont="1" applyFill="1" applyBorder="1" applyAlignment="1" applyProtection="1">
      <alignment horizontal="right" vertical="center"/>
      <protection locked="0"/>
    </xf>
    <xf numFmtId="4" fontId="51" fillId="37" borderId="11" xfId="80" applyNumberFormat="1" applyFont="1" applyFill="1" applyBorder="1" applyAlignment="1" applyProtection="1">
      <alignment horizontal="right" vertical="center"/>
      <protection locked="0"/>
    </xf>
    <xf numFmtId="10" fontId="51" fillId="47" borderId="12" xfId="80" applyNumberFormat="1" applyFont="1" applyFill="1" applyBorder="1" applyAlignment="1" applyProtection="1">
      <alignment horizontal="right" vertical="center" wrapText="1"/>
      <protection locked="0"/>
    </xf>
    <xf numFmtId="10" fontId="51" fillId="48" borderId="12" xfId="80" applyNumberFormat="1" applyFont="1" applyFill="1" applyBorder="1" applyAlignment="1" applyProtection="1">
      <alignment horizontal="right" vertical="center" wrapText="1"/>
      <protection locked="0"/>
    </xf>
    <xf numFmtId="10" fontId="51" fillId="46" borderId="12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3" xfId="80" applyNumberFormat="1" applyFont="1" applyFill="1" applyBorder="1" applyAlignment="1" applyProtection="1">
      <alignment horizontal="right" vertical="center"/>
      <protection locked="0"/>
    </xf>
    <xf numFmtId="49" fontId="47" fillId="44" borderId="33" xfId="80" applyNumberFormat="1" applyFont="1" applyFill="1" applyBorder="1" applyAlignment="1" applyProtection="1" quotePrefix="1">
      <alignment horizontal="center" vertical="center" wrapText="1"/>
      <protection locked="0"/>
    </xf>
    <xf numFmtId="4" fontId="51" fillId="45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93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5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68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2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8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8" borderId="11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8" borderId="11" xfId="80" applyNumberFormat="1" applyFont="1" applyFill="1" applyBorder="1" applyAlignment="1" applyProtection="1">
      <alignment horizontal="left" vertical="center" wrapText="1"/>
      <protection locked="0"/>
    </xf>
    <xf numFmtId="4" fontId="47" fillId="48" borderId="125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32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29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5" xfId="80" applyNumberFormat="1" applyFont="1" applyFill="1" applyBorder="1" applyAlignment="1" applyProtection="1">
      <alignment horizontal="right" vertical="center"/>
      <protection locked="0"/>
    </xf>
    <xf numFmtId="10" fontId="51" fillId="47" borderId="23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4" xfId="80" applyNumberFormat="1" applyFont="1" applyFill="1" applyBorder="1" applyAlignment="1" applyProtection="1">
      <alignment horizontal="right" vertical="center"/>
      <protection locked="0"/>
    </xf>
    <xf numFmtId="4" fontId="47" fillId="44" borderId="36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56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3" xfId="80" applyNumberFormat="1" applyFont="1" applyFill="1" applyBorder="1" applyAlignment="1" applyProtection="1">
      <alignment horizontal="right" vertical="center" wrapText="1"/>
      <protection locked="0"/>
    </xf>
    <xf numFmtId="4" fontId="47" fillId="48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9" borderId="11" xfId="80" applyNumberFormat="1" applyFont="1" applyFill="1" applyBorder="1" applyAlignment="1" applyProtection="1">
      <alignment horizontal="right" vertical="center"/>
      <protection locked="0"/>
    </xf>
    <xf numFmtId="10" fontId="49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8" borderId="154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140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left" vertical="center" wrapText="1"/>
      <protection locked="0"/>
    </xf>
    <xf numFmtId="10" fontId="51" fillId="48" borderId="13" xfId="80" applyNumberFormat="1" applyFont="1" applyFill="1" applyBorder="1" applyAlignment="1" applyProtection="1">
      <alignment horizontal="right" vertical="center" wrapText="1"/>
      <protection locked="0"/>
    </xf>
    <xf numFmtId="49" fontId="47" fillId="48" borderId="11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176" xfId="80" applyNumberFormat="1" applyFont="1" applyFill="1" applyBorder="1" applyAlignment="1" applyProtection="1">
      <alignment horizontal="right" vertical="center" wrapText="1"/>
      <protection locked="0"/>
    </xf>
    <xf numFmtId="4" fontId="148" fillId="0" borderId="0" xfId="80" applyNumberFormat="1" applyFont="1" applyFill="1" applyBorder="1" applyAlignment="1" applyProtection="1">
      <alignment horizontal="left"/>
      <protection locked="0"/>
    </xf>
    <xf numFmtId="0" fontId="3" fillId="0" borderId="0" xfId="96" applyFont="1" applyBorder="1" applyAlignment="1">
      <alignment/>
      <protection/>
    </xf>
    <xf numFmtId="0" fontId="31" fillId="0" borderId="0" xfId="96" applyFont="1" applyBorder="1" applyAlignment="1">
      <alignment horizontal="center" vertical="center"/>
      <protection/>
    </xf>
    <xf numFmtId="0" fontId="145" fillId="0" borderId="17" xfId="74" applyNumberFormat="1" applyFont="1" applyFill="1" applyBorder="1" applyAlignment="1" applyProtection="1">
      <alignment horizontal="left" vertical="center"/>
      <protection locked="0"/>
    </xf>
    <xf numFmtId="4" fontId="151" fillId="0" borderId="145" xfId="80" applyNumberFormat="1" applyFont="1" applyFill="1" applyBorder="1" applyAlignment="1" applyProtection="1">
      <alignment horizontal="right" vertical="center"/>
      <protection locked="0"/>
    </xf>
    <xf numFmtId="4" fontId="151" fillId="0" borderId="17" xfId="80" applyNumberFormat="1" applyFont="1" applyFill="1" applyBorder="1" applyAlignment="1" applyProtection="1">
      <alignment horizontal="right" vertical="center"/>
      <protection locked="0"/>
    </xf>
    <xf numFmtId="4" fontId="151" fillId="0" borderId="18" xfId="80" applyNumberFormat="1" applyFont="1" applyFill="1" applyBorder="1" applyAlignment="1" applyProtection="1">
      <alignment horizontal="right" vertical="center"/>
      <protection locked="0"/>
    </xf>
    <xf numFmtId="10" fontId="151" fillId="0" borderId="18" xfId="80" applyNumberFormat="1" applyFont="1" applyFill="1" applyBorder="1" applyAlignment="1" applyProtection="1">
      <alignment horizontal="right" vertical="center"/>
      <protection locked="0"/>
    </xf>
    <xf numFmtId="0" fontId="21" fillId="0" borderId="166" xfId="80" applyNumberFormat="1" applyFont="1" applyFill="1" applyBorder="1" applyAlignment="1" applyProtection="1">
      <alignment horizontal="left"/>
      <protection locked="0"/>
    </xf>
    <xf numFmtId="10" fontId="153" fillId="0" borderId="150" xfId="80" applyNumberFormat="1" applyFont="1" applyFill="1" applyBorder="1" applyAlignment="1" applyProtection="1">
      <alignment horizontal="right" vertical="center"/>
      <protection locked="0"/>
    </xf>
    <xf numFmtId="0" fontId="34" fillId="50" borderId="34" xfId="96" applyFont="1" applyFill="1" applyBorder="1" applyAlignment="1">
      <alignment horizontal="left" vertical="center"/>
      <protection/>
    </xf>
    <xf numFmtId="168" fontId="34" fillId="50" borderId="60" xfId="96" applyNumberFormat="1" applyFont="1" applyFill="1" applyBorder="1" applyAlignment="1">
      <alignment horizontal="center" vertical="center" wrapText="1"/>
      <protection/>
    </xf>
    <xf numFmtId="0" fontId="34" fillId="50" borderId="34" xfId="96" applyFont="1" applyFill="1" applyBorder="1" applyAlignment="1">
      <alignment horizontal="center" vertical="center"/>
      <protection/>
    </xf>
    <xf numFmtId="0" fontId="34" fillId="50" borderId="34" xfId="96" applyFont="1" applyFill="1" applyBorder="1" applyAlignment="1">
      <alignment horizontal="center" vertical="center" wrapText="1"/>
      <protection/>
    </xf>
    <xf numFmtId="0" fontId="14" fillId="0" borderId="36" xfId="96" applyFont="1" applyBorder="1" applyAlignment="1">
      <alignment vertical="top"/>
      <protection/>
    </xf>
    <xf numFmtId="0" fontId="34" fillId="50" borderId="36" xfId="96" applyFont="1" applyFill="1" applyBorder="1" applyAlignment="1">
      <alignment vertical="center" wrapText="1"/>
      <protection/>
    </xf>
    <xf numFmtId="168" fontId="34" fillId="50" borderId="61" xfId="96" applyNumberFormat="1" applyFont="1" applyFill="1" applyBorder="1" applyAlignment="1">
      <alignment horizontal="center" vertical="center" wrapText="1"/>
      <protection/>
    </xf>
    <xf numFmtId="168" fontId="34" fillId="50" borderId="36" xfId="96" applyNumberFormat="1" applyFont="1" applyFill="1" applyBorder="1" applyAlignment="1">
      <alignment horizontal="center" vertical="center" wrapText="1"/>
      <protection/>
    </xf>
    <xf numFmtId="164" fontId="34" fillId="50" borderId="34" xfId="96" applyNumberFormat="1" applyFont="1" applyFill="1" applyBorder="1" applyAlignment="1">
      <alignment horizontal="right" vertical="center" wrapText="1"/>
      <protection/>
    </xf>
    <xf numFmtId="168" fontId="43" fillId="51" borderId="50" xfId="96" applyNumberFormat="1" applyFont="1" applyFill="1" applyBorder="1" applyAlignment="1">
      <alignment horizontal="center" vertical="center" wrapText="1"/>
      <protection/>
    </xf>
    <xf numFmtId="10" fontId="34" fillId="50" borderId="60" xfId="96" applyNumberFormat="1" applyFont="1" applyFill="1" applyBorder="1" applyAlignment="1">
      <alignment horizontal="right" vertical="center" wrapText="1"/>
      <protection/>
    </xf>
    <xf numFmtId="10" fontId="34" fillId="50" borderId="61" xfId="96" applyNumberFormat="1" applyFont="1" applyFill="1" applyBorder="1" applyAlignment="1">
      <alignment horizontal="right" vertical="center" wrapText="1"/>
      <protection/>
    </xf>
    <xf numFmtId="43" fontId="43" fillId="51" borderId="11" xfId="96" applyNumberFormat="1" applyFont="1" applyFill="1" applyBorder="1" applyAlignment="1">
      <alignment horizontal="center" vertical="center" wrapText="1"/>
      <protection/>
    </xf>
    <xf numFmtId="10" fontId="43" fillId="51" borderId="11" xfId="96" applyNumberFormat="1" applyFont="1" applyFill="1" applyBorder="1" applyAlignment="1">
      <alignment horizontal="right" vertical="center"/>
      <protection/>
    </xf>
    <xf numFmtId="10" fontId="32" fillId="47" borderId="12" xfId="80" applyNumberFormat="1" applyFont="1" applyFill="1" applyBorder="1" applyAlignment="1" applyProtection="1">
      <alignment horizontal="right" vertical="center" wrapText="1"/>
      <protection locked="0"/>
    </xf>
    <xf numFmtId="10" fontId="148" fillId="0" borderId="40" xfId="80" applyNumberFormat="1" applyFont="1" applyFill="1" applyBorder="1" applyAlignment="1" applyProtection="1">
      <alignment horizontal="left"/>
      <protection locked="0"/>
    </xf>
    <xf numFmtId="4" fontId="147" fillId="0" borderId="54" xfId="80" applyNumberFormat="1" applyFont="1" applyFill="1" applyBorder="1" applyAlignment="1" applyProtection="1">
      <alignment horizontal="right" vertical="center"/>
      <protection locked="0"/>
    </xf>
    <xf numFmtId="10" fontId="147" fillId="0" borderId="12" xfId="80" applyNumberFormat="1" applyFont="1" applyFill="1" applyBorder="1" applyAlignment="1" applyProtection="1">
      <alignment horizontal="right" vertical="center"/>
      <protection locked="0"/>
    </xf>
    <xf numFmtId="4" fontId="147" fillId="0" borderId="94" xfId="80" applyNumberFormat="1" applyFont="1" applyFill="1" applyBorder="1" applyAlignment="1" applyProtection="1">
      <alignment horizontal="right" vertical="center"/>
      <protection locked="0"/>
    </xf>
    <xf numFmtId="4" fontId="5" fillId="0" borderId="54" xfId="80" applyNumberFormat="1" applyFont="1" applyFill="1" applyBorder="1" applyAlignment="1" applyProtection="1">
      <alignment horizontal="right" vertical="top"/>
      <protection locked="0"/>
    </xf>
    <xf numFmtId="4" fontId="5" fillId="0" borderId="54" xfId="80" applyNumberFormat="1" applyFont="1" applyFill="1" applyBorder="1" applyAlignment="1" applyProtection="1">
      <alignment vertical="top"/>
      <protection locked="0"/>
    </xf>
    <xf numFmtId="10" fontId="5" fillId="0" borderId="12" xfId="80" applyNumberFormat="1" applyFont="1" applyFill="1" applyBorder="1" applyAlignment="1" applyProtection="1">
      <alignment horizontal="right" vertical="top"/>
      <protection locked="0"/>
    </xf>
    <xf numFmtId="4" fontId="5" fillId="0" borderId="94" xfId="80" applyNumberFormat="1" applyFont="1" applyFill="1" applyBorder="1" applyAlignment="1" applyProtection="1">
      <alignment horizontal="right" vertical="top"/>
      <protection locked="0"/>
    </xf>
    <xf numFmtId="4" fontId="5" fillId="0" borderId="94" xfId="80" applyNumberFormat="1" applyFont="1" applyFill="1" applyBorder="1" applyAlignment="1" applyProtection="1">
      <alignment vertical="top"/>
      <protection locked="0"/>
    </xf>
    <xf numFmtId="4" fontId="149" fillId="0" borderId="54" xfId="80" applyNumberFormat="1" applyFont="1" applyFill="1" applyBorder="1" applyAlignment="1" applyProtection="1">
      <alignment vertical="top"/>
      <protection locked="0"/>
    </xf>
    <xf numFmtId="4" fontId="5" fillId="0" borderId="54" xfId="80" applyNumberFormat="1" applyFont="1" applyFill="1" applyBorder="1" applyAlignment="1" applyProtection="1">
      <alignment horizontal="right"/>
      <protection locked="0"/>
    </xf>
    <xf numFmtId="10" fontId="149" fillId="0" borderId="12" xfId="80" applyNumberFormat="1" applyFont="1" applyFill="1" applyBorder="1" applyAlignment="1" applyProtection="1">
      <alignment vertical="top"/>
      <protection locked="0"/>
    </xf>
    <xf numFmtId="10" fontId="5" fillId="0" borderId="12" xfId="80" applyNumberFormat="1" applyFont="1" applyFill="1" applyBorder="1" applyAlignment="1" applyProtection="1">
      <alignment horizontal="right"/>
      <protection locked="0"/>
    </xf>
    <xf numFmtId="4" fontId="149" fillId="0" borderId="94" xfId="80" applyNumberFormat="1" applyFont="1" applyFill="1" applyBorder="1" applyAlignment="1" applyProtection="1">
      <alignment vertical="top"/>
      <protection locked="0"/>
    </xf>
    <xf numFmtId="4" fontId="5" fillId="0" borderId="94" xfId="80" applyNumberFormat="1" applyFont="1" applyFill="1" applyBorder="1" applyAlignment="1" applyProtection="1">
      <alignment horizontal="right"/>
      <protection locked="0"/>
    </xf>
    <xf numFmtId="4" fontId="149" fillId="0" borderId="54" xfId="80" applyNumberFormat="1" applyFont="1" applyFill="1" applyBorder="1" applyAlignment="1" applyProtection="1">
      <alignment horizontal="right" vertical="top"/>
      <protection locked="0"/>
    </xf>
    <xf numFmtId="10" fontId="149" fillId="0" borderId="12" xfId="80" applyNumberFormat="1" applyFont="1" applyFill="1" applyBorder="1" applyAlignment="1" applyProtection="1">
      <alignment horizontal="right" vertical="top"/>
      <protection locked="0"/>
    </xf>
    <xf numFmtId="4" fontId="149" fillId="0" borderId="94" xfId="80" applyNumberFormat="1" applyFont="1" applyFill="1" applyBorder="1" applyAlignment="1" applyProtection="1">
      <alignment horizontal="right" vertical="top"/>
      <protection locked="0"/>
    </xf>
    <xf numFmtId="4" fontId="32" fillId="46" borderId="177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8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78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36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36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6" xfId="80" applyNumberFormat="1" applyFont="1" applyFill="1" applyBorder="1" applyAlignment="1" applyProtection="1">
      <alignment horizontal="left" vertical="center" wrapText="1"/>
      <protection locked="0"/>
    </xf>
    <xf numFmtId="4" fontId="47" fillId="45" borderId="36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56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9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1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8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7" borderId="38" xfId="80" applyNumberFormat="1" applyFont="1" applyFill="1" applyBorder="1" applyAlignment="1" applyProtection="1">
      <alignment horizontal="left" vertical="center" wrapText="1"/>
      <protection locked="0"/>
    </xf>
    <xf numFmtId="4" fontId="47" fillId="44" borderId="38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39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80" applyNumberFormat="1" applyFont="1" applyFill="1" applyBorder="1" applyAlignment="1" applyProtection="1">
      <alignment horizontal="right" vertical="top"/>
      <protection locked="0"/>
    </xf>
    <xf numFmtId="10" fontId="42" fillId="0" borderId="12" xfId="80" applyNumberFormat="1" applyFont="1" applyFill="1" applyBorder="1" applyAlignment="1" applyProtection="1">
      <alignment horizontal="right" vertical="top"/>
      <protection locked="0"/>
    </xf>
    <xf numFmtId="4" fontId="14" fillId="0" borderId="0" xfId="93" applyNumberFormat="1" applyFont="1" applyAlignment="1">
      <alignment vertical="center"/>
      <protection/>
    </xf>
    <xf numFmtId="0" fontId="5" fillId="0" borderId="180" xfId="80" applyNumberFormat="1" applyFont="1" applyFill="1" applyBorder="1" applyAlignment="1" applyProtection="1">
      <alignment horizontal="right" vertical="top"/>
      <protection locked="0"/>
    </xf>
    <xf numFmtId="49" fontId="2" fillId="0" borderId="34" xfId="98" applyNumberFormat="1" applyBorder="1" applyAlignment="1">
      <alignment horizontal="center" vertical="center"/>
      <protection/>
    </xf>
    <xf numFmtId="4" fontId="2" fillId="0" borderId="34" xfId="98" applyNumberFormat="1" applyFont="1" applyBorder="1" applyAlignment="1">
      <alignment horizontal="right" vertical="center"/>
      <protection/>
    </xf>
    <xf numFmtId="10" fontId="2" fillId="0" borderId="181" xfId="98" applyNumberFormat="1" applyFont="1" applyBorder="1" applyAlignment="1">
      <alignment horizontal="right" vertical="center"/>
      <protection/>
    </xf>
    <xf numFmtId="10" fontId="32" fillId="46" borderId="12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25" xfId="80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72" applyNumberFormat="1" applyFont="1" applyFill="1" applyBorder="1" applyAlignment="1" applyProtection="1">
      <alignment horizontal="left"/>
      <protection locked="0"/>
    </xf>
    <xf numFmtId="0" fontId="65" fillId="0" borderId="40" xfId="72" applyNumberFormat="1" applyFont="1" applyFill="1" applyBorder="1" applyAlignment="1" applyProtection="1">
      <alignment horizontal="left"/>
      <protection locked="0"/>
    </xf>
    <xf numFmtId="0" fontId="69" fillId="0" borderId="25" xfId="72" applyNumberFormat="1" applyFont="1" applyFill="1" applyBorder="1" applyAlignment="1" applyProtection="1">
      <alignment horizontal="left" vertical="top"/>
      <protection locked="0"/>
    </xf>
    <xf numFmtId="0" fontId="65" fillId="0" borderId="40" xfId="72" applyNumberFormat="1" applyFont="1" applyFill="1" applyBorder="1" applyAlignment="1" applyProtection="1">
      <alignment vertical="top" wrapText="1"/>
      <protection locked="0"/>
    </xf>
    <xf numFmtId="0" fontId="68" fillId="0" borderId="25" xfId="72" applyNumberFormat="1" applyFont="1" applyFill="1" applyBorder="1" applyAlignment="1" applyProtection="1">
      <alignment horizontal="right" vertical="top"/>
      <protection locked="0"/>
    </xf>
    <xf numFmtId="0" fontId="70" fillId="0" borderId="40" xfId="72" applyNumberFormat="1" applyFont="1" applyFill="1" applyBorder="1" applyAlignment="1" applyProtection="1">
      <alignment vertical="top" wrapText="1"/>
      <protection locked="0"/>
    </xf>
    <xf numFmtId="0" fontId="67" fillId="0" borderId="25" xfId="72" applyNumberFormat="1" applyFont="1" applyFill="1" applyBorder="1" applyAlignment="1" applyProtection="1">
      <alignment horizontal="right" vertical="top"/>
      <protection locked="0"/>
    </xf>
    <xf numFmtId="0" fontId="24" fillId="0" borderId="123" xfId="95" applyFont="1" applyBorder="1" applyAlignment="1">
      <alignment horizontal="right" vertical="top"/>
      <protection/>
    </xf>
    <xf numFmtId="0" fontId="24" fillId="0" borderId="119" xfId="95" applyFont="1" applyBorder="1" applyAlignment="1">
      <alignment horizontal="right" vertical="top"/>
      <protection/>
    </xf>
    <xf numFmtId="0" fontId="24" fillId="0" borderId="134" xfId="95" applyFont="1" applyBorder="1" applyAlignment="1">
      <alignment horizontal="right" vertical="top"/>
      <protection/>
    </xf>
    <xf numFmtId="0" fontId="36" fillId="0" borderId="0" xfId="95" applyFont="1">
      <alignment/>
      <protection/>
    </xf>
    <xf numFmtId="4" fontId="32" fillId="46" borderId="36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left" vertical="center" wrapText="1"/>
      <protection locked="0"/>
    </xf>
    <xf numFmtId="4" fontId="47" fillId="44" borderId="11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center" vertical="center" wrapText="1"/>
      <protection locked="0"/>
    </xf>
    <xf numFmtId="10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32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9" fillId="47" borderId="33" xfId="80" applyNumberFormat="1" applyFont="1" applyFill="1" applyBorder="1" applyAlignment="1" applyProtection="1">
      <alignment horizontal="center" vertical="center" wrapText="1"/>
      <protection locked="0"/>
    </xf>
    <xf numFmtId="49" fontId="49" fillId="47" borderId="28" xfId="80" applyNumberFormat="1" applyFont="1" applyFill="1" applyBorder="1" applyAlignment="1" applyProtection="1">
      <alignment horizontal="center" vertical="center" wrapText="1"/>
      <protection locked="0"/>
    </xf>
    <xf numFmtId="49" fontId="51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7" borderId="28" xfId="80" applyNumberFormat="1" applyFont="1" applyFill="1" applyBorder="1" applyAlignment="1" applyProtection="1">
      <alignment horizontal="center" vertical="center" wrapText="1"/>
      <protection locked="0"/>
    </xf>
    <xf numFmtId="4" fontId="47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45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154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45" xfId="80" applyNumberFormat="1" applyFont="1" applyFill="1" applyBorder="1" applyAlignment="1" applyProtection="1">
      <alignment horizontal="right" vertical="center" wrapText="1"/>
      <protection locked="0"/>
    </xf>
    <xf numFmtId="49" fontId="51" fillId="47" borderId="28" xfId="80" applyNumberFormat="1" applyFont="1" applyFill="1" applyBorder="1" applyAlignment="1" applyProtection="1">
      <alignment horizontal="center" vertical="center" wrapText="1"/>
      <protection locked="0"/>
    </xf>
    <xf numFmtId="49" fontId="57" fillId="44" borderId="68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2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2" xfId="80" applyNumberFormat="1" applyFont="1" applyFill="1" applyBorder="1" applyAlignment="1" applyProtection="1">
      <alignment horizontal="left" vertical="center" wrapText="1"/>
      <protection locked="0"/>
    </xf>
    <xf numFmtId="4" fontId="47" fillId="45" borderId="32" xfId="80" applyNumberFormat="1" applyFont="1" applyFill="1" applyBorder="1" applyAlignment="1" applyProtection="1">
      <alignment horizontal="right" vertical="center" wrapText="1"/>
      <protection locked="0"/>
    </xf>
    <xf numFmtId="10" fontId="51" fillId="48" borderId="23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10" xfId="80" applyNumberFormat="1" applyFont="1" applyFill="1" applyBorder="1" applyAlignment="1" applyProtection="1">
      <alignment horizontal="right" vertical="center"/>
      <protection locked="0"/>
    </xf>
    <xf numFmtId="4" fontId="51" fillId="0" borderId="17" xfId="80" applyNumberFormat="1" applyFont="1" applyFill="1" applyBorder="1" applyAlignment="1" applyProtection="1">
      <alignment horizontal="right" vertical="center"/>
      <protection locked="0"/>
    </xf>
    <xf numFmtId="49" fontId="47" fillId="47" borderId="11" xfId="80" applyNumberFormat="1" applyFont="1" applyFill="1" applyBorder="1" applyAlignment="1" applyProtection="1">
      <alignment horizontal="center" vertical="center" wrapText="1"/>
      <protection locked="0"/>
    </xf>
    <xf numFmtId="4" fontId="47" fillId="47" borderId="11" xfId="80" applyNumberFormat="1" applyFont="1" applyFill="1" applyBorder="1" applyAlignment="1" applyProtection="1">
      <alignment horizontal="right" vertical="center" wrapText="1"/>
      <protection locked="0"/>
    </xf>
    <xf numFmtId="49" fontId="51" fillId="47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45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11" xfId="80" applyNumberFormat="1" applyFont="1" applyFill="1" applyBorder="1" applyAlignment="1" applyProtection="1">
      <alignment horizontal="center" vertical="center" wrapText="1"/>
      <protection locked="0"/>
    </xf>
    <xf numFmtId="49" fontId="51" fillId="45" borderId="11" xfId="80" applyNumberFormat="1" applyFont="1" applyFill="1" applyBorder="1" applyAlignment="1" applyProtection="1">
      <alignment horizontal="left" vertical="center" wrapText="1"/>
      <protection locked="0"/>
    </xf>
    <xf numFmtId="49" fontId="47" fillId="47" borderId="28" xfId="80" applyNumberFormat="1" applyFont="1" applyFill="1" applyBorder="1" applyAlignment="1" applyProtection="1">
      <alignment horizontal="left" vertical="center" wrapText="1"/>
      <protection locked="0"/>
    </xf>
    <xf numFmtId="4" fontId="47" fillId="47" borderId="18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3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left" vertical="center" wrapText="1"/>
      <protection locked="0"/>
    </xf>
    <xf numFmtId="49" fontId="51" fillId="45" borderId="11" xfId="80" applyNumberFormat="1" applyFont="1" applyFill="1" applyBorder="1" applyAlignment="1" applyProtection="1">
      <alignment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lef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center" vertical="center" wrapText="1"/>
      <protection locked="0"/>
    </xf>
    <xf numFmtId="4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1" xfId="80" applyNumberFormat="1" applyFont="1" applyFill="1" applyBorder="1" applyAlignment="1" applyProtection="1">
      <alignment vertical="center" wrapText="1"/>
      <protection locked="0"/>
    </xf>
    <xf numFmtId="4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" fontId="57" fillId="45" borderId="28" xfId="80" applyNumberFormat="1" applyFont="1" applyFill="1" applyBorder="1" applyAlignment="1" applyProtection="1">
      <alignment horizontal="center" vertical="center" wrapText="1"/>
      <protection locked="0"/>
    </xf>
    <xf numFmtId="4" fontId="51" fillId="45" borderId="11" xfId="80" applyNumberFormat="1" applyFont="1" applyFill="1" applyBorder="1" applyAlignment="1" applyProtection="1">
      <alignment vertical="center" wrapText="1"/>
      <protection locked="0"/>
    </xf>
    <xf numFmtId="49" fontId="51" fillId="45" borderId="28" xfId="80" applyNumberFormat="1" applyFont="1" applyFill="1" applyBorder="1" applyAlignment="1" applyProtection="1">
      <alignment horizontal="center" vertical="center" wrapText="1"/>
      <protection locked="0"/>
    </xf>
    <xf numFmtId="2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25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61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7" xfId="80" applyNumberFormat="1" applyFont="1" applyFill="1" applyBorder="1" applyAlignment="1" applyProtection="1">
      <alignment horizontal="right" vertical="center" wrapText="1"/>
      <protection locked="0"/>
    </xf>
    <xf numFmtId="10" fontId="32" fillId="46" borderId="17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0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17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17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7" xfId="80" applyNumberFormat="1" applyFont="1" applyFill="1" applyBorder="1" applyAlignment="1" applyProtection="1">
      <alignment horizontal="right" vertical="center" wrapText="1"/>
      <protection locked="0"/>
    </xf>
    <xf numFmtId="4" fontId="37" fillId="0" borderId="93" xfId="92" applyNumberFormat="1" applyFont="1" applyBorder="1" applyAlignment="1">
      <alignment vertical="center"/>
      <protection/>
    </xf>
    <xf numFmtId="4" fontId="37" fillId="0" borderId="15" xfId="92" applyNumberFormat="1" applyFont="1" applyBorder="1">
      <alignment/>
      <protection/>
    </xf>
    <xf numFmtId="49" fontId="14" fillId="0" borderId="17" xfId="92" applyNumberFormat="1" applyFont="1" applyBorder="1" applyAlignment="1">
      <alignment horizontal="left" vertical="top" wrapText="1"/>
      <protection/>
    </xf>
    <xf numFmtId="4" fontId="34" fillId="0" borderId="17" xfId="92" applyNumberFormat="1" applyFont="1" applyBorder="1" applyAlignment="1">
      <alignment horizontal="right" vertical="top" wrapText="1"/>
      <protection/>
    </xf>
    <xf numFmtId="4" fontId="34" fillId="0" borderId="18" xfId="92" applyNumberFormat="1" applyFont="1" applyBorder="1" applyAlignment="1">
      <alignment horizontal="right" vertical="top"/>
      <protection/>
    </xf>
    <xf numFmtId="10" fontId="14" fillId="0" borderId="93" xfId="92" applyNumberFormat="1" applyFont="1" applyBorder="1" applyAlignment="1">
      <alignment horizontal="right" vertical="top"/>
      <protection/>
    </xf>
    <xf numFmtId="4" fontId="14" fillId="0" borderId="145" xfId="92" applyNumberFormat="1" applyFont="1" applyBorder="1" applyAlignment="1">
      <alignment vertical="top"/>
      <protection/>
    </xf>
    <xf numFmtId="0" fontId="14" fillId="0" borderId="145" xfId="92" applyFont="1" applyBorder="1" applyAlignment="1">
      <alignment vertical="top"/>
      <protection/>
    </xf>
    <xf numFmtId="4" fontId="34" fillId="0" borderId="110" xfId="92" applyNumberFormat="1" applyFont="1" applyBorder="1" applyAlignment="1">
      <alignment vertical="top"/>
      <protection/>
    </xf>
    <xf numFmtId="4" fontId="142" fillId="0" borderId="17" xfId="92" applyNumberFormat="1" applyFont="1" applyBorder="1" applyAlignment="1">
      <alignment vertical="top"/>
      <protection/>
    </xf>
    <xf numFmtId="49" fontId="36" fillId="37" borderId="11" xfId="92" applyNumberFormat="1" applyFont="1" applyFill="1" applyBorder="1" applyAlignment="1">
      <alignment horizontal="left" vertical="top"/>
      <protection/>
    </xf>
    <xf numFmtId="0" fontId="37" fillId="0" borderId="11" xfId="92" applyFont="1" applyBorder="1" applyAlignment="1">
      <alignment horizontal="left" vertical="top" wrapText="1"/>
      <protection/>
    </xf>
    <xf numFmtId="4" fontId="36" fillId="0" borderId="11" xfId="92" applyNumberFormat="1" applyFont="1" applyBorder="1" applyAlignment="1">
      <alignment horizontal="right" vertical="center" wrapText="1"/>
      <protection/>
    </xf>
    <xf numFmtId="10" fontId="36" fillId="0" borderId="11" xfId="92" applyNumberFormat="1" applyFont="1" applyBorder="1" applyAlignment="1">
      <alignment horizontal="right" vertical="center" wrapText="1"/>
      <protection/>
    </xf>
    <xf numFmtId="10" fontId="34" fillId="0" borderId="67" xfId="92" applyNumberFormat="1" applyFont="1" applyBorder="1" applyAlignment="1">
      <alignment vertical="top"/>
      <protection/>
    </xf>
    <xf numFmtId="10" fontId="34" fillId="0" borderId="54" xfId="92" applyNumberFormat="1" applyFont="1" applyBorder="1" applyAlignment="1">
      <alignment vertical="top"/>
      <protection/>
    </xf>
    <xf numFmtId="10" fontId="34" fillId="0" borderId="66" xfId="92" applyNumberFormat="1" applyFont="1" applyBorder="1" applyAlignment="1">
      <alignment vertical="top"/>
      <protection/>
    </xf>
    <xf numFmtId="0" fontId="24" fillId="0" borderId="183" xfId="95" applyFont="1" applyBorder="1" applyAlignment="1">
      <alignment horizontal="right" vertical="top"/>
      <protection/>
    </xf>
    <xf numFmtId="0" fontId="24" fillId="0" borderId="38" xfId="95" applyFont="1" applyBorder="1" applyAlignment="1">
      <alignment horizontal="center" vertical="top"/>
      <protection/>
    </xf>
    <xf numFmtId="0" fontId="24" fillId="0" borderId="39" xfId="95" applyFont="1" applyBorder="1" applyAlignment="1">
      <alignment horizontal="left" vertical="top" wrapText="1"/>
      <protection/>
    </xf>
    <xf numFmtId="4" fontId="24" fillId="0" borderId="184" xfId="95" applyNumberFormat="1" applyFont="1" applyBorder="1" applyAlignment="1">
      <alignment vertical="top"/>
      <protection/>
    </xf>
    <xf numFmtId="4" fontId="24" fillId="0" borderId="185" xfId="95" applyNumberFormat="1" applyFont="1" applyBorder="1" applyAlignment="1">
      <alignment vertical="top"/>
      <protection/>
    </xf>
    <xf numFmtId="0" fontId="24" fillId="0" borderId="54" xfId="95" applyFont="1" applyBorder="1">
      <alignment/>
      <protection/>
    </xf>
    <xf numFmtId="10" fontId="24" fillId="0" borderId="12" xfId="95" applyNumberFormat="1" applyFont="1" applyBorder="1">
      <alignment/>
      <protection/>
    </xf>
    <xf numFmtId="4" fontId="24" fillId="0" borderId="11" xfId="95" applyNumberFormat="1" applyFont="1" applyBorder="1" applyAlignment="1">
      <alignment vertical="top"/>
      <protection/>
    </xf>
    <xf numFmtId="49" fontId="47" fillId="47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7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0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86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87" xfId="80" applyNumberFormat="1" applyFont="1" applyFill="1" applyBorder="1" applyAlignment="1" applyProtection="1">
      <alignment horizontal="right" vertical="center" wrapText="1"/>
      <protection locked="0"/>
    </xf>
    <xf numFmtId="49" fontId="2" fillId="0" borderId="36" xfId="98" applyNumberFormat="1" applyFont="1" applyBorder="1" applyAlignment="1">
      <alignment horizontal="left" vertical="center" wrapText="1"/>
      <protection/>
    </xf>
    <xf numFmtId="49" fontId="2" fillId="0" borderId="32" xfId="98" applyNumberFormat="1" applyFont="1" applyBorder="1" applyAlignment="1">
      <alignment horizontal="left" vertical="center" wrapText="1"/>
      <protection/>
    </xf>
    <xf numFmtId="49" fontId="2" fillId="0" borderId="33" xfId="98" applyNumberFormat="1" applyFont="1" applyBorder="1" applyAlignment="1">
      <alignment horizontal="left" vertical="center" wrapText="1"/>
      <protection/>
    </xf>
    <xf numFmtId="49" fontId="2" fillId="0" borderId="34" xfId="98" applyNumberFormat="1" applyFont="1" applyBorder="1" applyAlignment="1">
      <alignment horizontal="left" vertical="center" wrapText="1"/>
      <protection/>
    </xf>
    <xf numFmtId="49" fontId="2" fillId="0" borderId="34" xfId="98" applyNumberFormat="1" applyFont="1" applyBorder="1" applyAlignment="1">
      <alignment vertical="center" wrapText="1"/>
      <protection/>
    </xf>
    <xf numFmtId="49" fontId="2" fillId="0" borderId="38" xfId="98" applyNumberFormat="1" applyFont="1" applyBorder="1" applyAlignment="1">
      <alignment horizontal="left" vertical="center" wrapText="1"/>
      <protection/>
    </xf>
    <xf numFmtId="49" fontId="2" fillId="0" borderId="31" xfId="98" applyNumberFormat="1" applyFont="1" applyBorder="1" applyAlignment="1">
      <alignment horizontal="left" vertical="center" wrapText="1"/>
      <protection/>
    </xf>
    <xf numFmtId="0" fontId="2" fillId="0" borderId="11" xfId="98" applyFont="1" applyBorder="1" applyAlignment="1">
      <alignment horizontal="left" vertical="center" wrapText="1"/>
      <protection/>
    </xf>
    <xf numFmtId="0" fontId="2" fillId="0" borderId="34" xfId="98" applyFont="1" applyBorder="1" applyAlignment="1">
      <alignment horizontal="left" vertical="center" wrapText="1"/>
      <protection/>
    </xf>
    <xf numFmtId="0" fontId="2" fillId="0" borderId="31" xfId="98" applyFont="1" applyBorder="1" applyAlignment="1">
      <alignment horizontal="left" vertical="center" wrapText="1"/>
      <protection/>
    </xf>
    <xf numFmtId="0" fontId="2" fillId="0" borderId="31" xfId="98" applyFont="1" applyBorder="1" applyAlignment="1">
      <alignment horizontal="left" vertical="center" wrapText="1"/>
      <protection/>
    </xf>
    <xf numFmtId="0" fontId="2" fillId="0" borderId="34" xfId="98" applyFont="1" applyBorder="1" applyAlignment="1">
      <alignment horizontal="left" vertical="center" wrapText="1"/>
      <protection/>
    </xf>
    <xf numFmtId="0" fontId="2" fillId="0" borderId="40" xfId="98" applyFont="1" applyBorder="1" applyAlignment="1">
      <alignment horizontal="left" vertical="center" wrapText="1"/>
      <protection/>
    </xf>
    <xf numFmtId="0" fontId="2" fillId="0" borderId="17" xfId="98" applyFont="1" applyBorder="1" applyAlignment="1">
      <alignment horizontal="left" vertical="center" wrapText="1"/>
      <protection/>
    </xf>
    <xf numFmtId="49" fontId="2" fillId="0" borderId="31" xfId="98" applyNumberFormat="1" applyFont="1" applyBorder="1" applyAlignment="1">
      <alignment horizontal="left" vertical="center" wrapText="1"/>
      <protection/>
    </xf>
    <xf numFmtId="0" fontId="2" fillId="0" borderId="17" xfId="98" applyFont="1" applyBorder="1" applyAlignment="1">
      <alignment horizontal="left" vertical="center" wrapText="1"/>
      <protection/>
    </xf>
    <xf numFmtId="4" fontId="2" fillId="0" borderId="0" xfId="98" applyNumberFormat="1" applyFont="1" applyBorder="1" applyAlignment="1">
      <alignment horizontal="right" vertical="center"/>
      <protection/>
    </xf>
    <xf numFmtId="49" fontId="2" fillId="0" borderId="11" xfId="98" applyNumberFormat="1" applyBorder="1" applyAlignment="1">
      <alignment horizontal="center" vertical="center"/>
      <protection/>
    </xf>
    <xf numFmtId="4" fontId="2" fillId="0" borderId="11" xfId="98" applyNumberFormat="1" applyFont="1" applyBorder="1" applyAlignment="1">
      <alignment horizontal="right" vertical="center"/>
      <protection/>
    </xf>
    <xf numFmtId="4" fontId="25" fillId="0" borderId="11" xfId="98" applyNumberFormat="1" applyFont="1" applyBorder="1" applyAlignment="1">
      <alignment horizontal="right" vertical="center"/>
      <protection/>
    </xf>
    <xf numFmtId="0" fontId="28" fillId="0" borderId="69" xfId="98" applyFont="1" applyBorder="1" applyAlignment="1">
      <alignment horizontal="left" vertical="top" wrapText="1"/>
      <protection/>
    </xf>
    <xf numFmtId="10" fontId="25" fillId="0" borderId="11" xfId="98" applyNumberFormat="1" applyFont="1" applyBorder="1" applyAlignment="1">
      <alignment horizontal="right" vertical="center"/>
      <protection/>
    </xf>
    <xf numFmtId="10" fontId="2" fillId="0" borderId="11" xfId="98" applyNumberFormat="1" applyFont="1" applyBorder="1" applyAlignment="1">
      <alignment horizontal="right" vertical="center"/>
      <protection/>
    </xf>
    <xf numFmtId="4" fontId="2" fillId="0" borderId="18" xfId="98" applyNumberFormat="1" applyFont="1" applyBorder="1" applyAlignment="1">
      <alignment horizontal="right" vertical="center"/>
      <protection/>
    </xf>
    <xf numFmtId="49" fontId="4" fillId="0" borderId="29" xfId="98" applyNumberFormat="1" applyFont="1" applyBorder="1" applyAlignment="1">
      <alignment horizontal="center" vertical="top" wrapText="1"/>
      <protection/>
    </xf>
    <xf numFmtId="49" fontId="2" fillId="0" borderId="11" xfId="98" applyNumberFormat="1" applyFont="1" applyBorder="1" applyAlignment="1">
      <alignment horizontal="left" vertical="center" wrapText="1"/>
      <protection/>
    </xf>
    <xf numFmtId="49" fontId="2" fillId="0" borderId="11" xfId="98" applyNumberFormat="1" applyFont="1" applyBorder="1" applyAlignment="1">
      <alignment horizontal="center" vertical="center"/>
      <protection/>
    </xf>
    <xf numFmtId="0" fontId="9" fillId="0" borderId="25" xfId="97" applyFont="1" applyBorder="1" applyAlignment="1">
      <alignment horizontal="center" vertical="top" wrapText="1"/>
      <protection/>
    </xf>
    <xf numFmtId="0" fontId="8" fillId="36" borderId="17" xfId="97" applyFont="1" applyFill="1" applyBorder="1" applyAlignment="1">
      <alignment horizontal="center" vertical="top" wrapText="1"/>
      <protection/>
    </xf>
    <xf numFmtId="0" fontId="10" fillId="35" borderId="11" xfId="97" applyFont="1" applyFill="1" applyBorder="1" applyAlignment="1">
      <alignment vertical="top" wrapText="1"/>
      <protection/>
    </xf>
    <xf numFmtId="4" fontId="11" fillId="0" borderId="12" xfId="97" applyNumberFormat="1" applyFont="1" applyBorder="1" applyAlignment="1">
      <alignment vertical="top"/>
      <protection/>
    </xf>
    <xf numFmtId="10" fontId="11" fillId="0" borderId="11" xfId="97" applyNumberFormat="1" applyFont="1" applyBorder="1" applyAlignment="1">
      <alignment horizontal="right" vertical="top" wrapText="1"/>
      <protection/>
    </xf>
    <xf numFmtId="4" fontId="10" fillId="35" borderId="11" xfId="97" applyNumberFormat="1" applyFont="1" applyFill="1" applyBorder="1" applyAlignment="1">
      <alignment vertical="top" wrapText="1"/>
      <protection/>
    </xf>
    <xf numFmtId="4" fontId="10" fillId="0" borderId="88" xfId="97" applyNumberFormat="1" applyFont="1" applyBorder="1" applyAlignment="1">
      <alignment vertical="top"/>
      <protection/>
    </xf>
    <xf numFmtId="10" fontId="10" fillId="0" borderId="104" xfId="97" applyNumberFormat="1" applyFont="1" applyBorder="1" applyAlignment="1">
      <alignment vertical="top" wrapText="1"/>
      <protection/>
    </xf>
    <xf numFmtId="0" fontId="10" fillId="35" borderId="11" xfId="97" applyFont="1" applyFill="1" applyBorder="1" applyAlignment="1">
      <alignment horizontal="left" vertical="top" wrapText="1"/>
      <protection/>
    </xf>
    <xf numFmtId="4" fontId="10" fillId="35" borderId="11" xfId="97" applyNumberFormat="1" applyFont="1" applyFill="1" applyBorder="1" applyAlignment="1">
      <alignment horizontal="right" vertical="top" wrapText="1"/>
      <protection/>
    </xf>
    <xf numFmtId="4" fontId="10" fillId="0" borderId="16" xfId="97" applyNumberFormat="1" applyFont="1" applyBorder="1" applyAlignment="1">
      <alignment horizontal="right" vertical="top"/>
      <protection/>
    </xf>
    <xf numFmtId="4" fontId="10" fillId="0" borderId="15" xfId="97" applyNumberFormat="1" applyFont="1" applyBorder="1" applyAlignment="1">
      <alignment horizontal="right" vertical="top"/>
      <protection/>
    </xf>
    <xf numFmtId="10" fontId="10" fillId="0" borderId="108" xfId="97" applyNumberFormat="1" applyFont="1" applyBorder="1" applyAlignment="1">
      <alignment horizontal="right" vertical="top" wrapText="1"/>
      <protection/>
    </xf>
    <xf numFmtId="4" fontId="10" fillId="0" borderId="188" xfId="97" applyNumberFormat="1" applyFont="1" applyBorder="1" applyAlignment="1">
      <alignment horizontal="right" vertical="top"/>
      <protection/>
    </xf>
    <xf numFmtId="4" fontId="10" fillId="0" borderId="19" xfId="97" applyNumberFormat="1" applyFont="1" applyBorder="1" applyAlignment="1">
      <alignment horizontal="right" vertical="top"/>
      <protection/>
    </xf>
    <xf numFmtId="10" fontId="10" fillId="0" borderId="104" xfId="97" applyNumberFormat="1" applyFont="1" applyBorder="1" applyAlignment="1">
      <alignment horizontal="right" vertical="top" wrapText="1"/>
      <protection/>
    </xf>
    <xf numFmtId="10" fontId="10" fillId="35" borderId="11" xfId="97" applyNumberFormat="1" applyFont="1" applyFill="1" applyBorder="1" applyAlignment="1">
      <alignment vertical="top" wrapText="1"/>
      <protection/>
    </xf>
    <xf numFmtId="10" fontId="10" fillId="35" borderId="11" xfId="97" applyNumberFormat="1" applyFont="1" applyFill="1" applyBorder="1" applyAlignment="1">
      <alignment horizontal="right" vertical="top" wrapText="1"/>
      <protection/>
    </xf>
    <xf numFmtId="4" fontId="11" fillId="37" borderId="11" xfId="97" applyNumberFormat="1" applyFont="1" applyFill="1" applyBorder="1" applyAlignment="1">
      <alignment vertical="top"/>
      <protection/>
    </xf>
    <xf numFmtId="4" fontId="154" fillId="0" borderId="170" xfId="80" applyNumberFormat="1" applyFont="1" applyFill="1" applyBorder="1" applyAlignment="1" applyProtection="1">
      <alignment horizontal="right" vertical="center"/>
      <protection locked="0"/>
    </xf>
    <xf numFmtId="4" fontId="154" fillId="0" borderId="171" xfId="80" applyNumberFormat="1" applyFont="1" applyFill="1" applyBorder="1" applyAlignment="1" applyProtection="1">
      <alignment horizontal="right" vertical="center"/>
      <protection locked="0"/>
    </xf>
    <xf numFmtId="4" fontId="48" fillId="0" borderId="11" xfId="80" applyNumberFormat="1" applyFont="1" applyFill="1" applyBorder="1" applyAlignment="1" applyProtection="1">
      <alignment horizontal="right" vertical="center"/>
      <protection locked="0"/>
    </xf>
    <xf numFmtId="4" fontId="48" fillId="0" borderId="162" xfId="80" applyNumberFormat="1" applyFont="1" applyFill="1" applyBorder="1" applyAlignment="1" applyProtection="1">
      <alignment horizontal="right" vertical="center"/>
      <protection locked="0"/>
    </xf>
    <xf numFmtId="10" fontId="48" fillId="0" borderId="150" xfId="80" applyNumberFormat="1" applyFont="1" applyFill="1" applyBorder="1" applyAlignment="1" applyProtection="1">
      <alignment horizontal="right" vertical="center"/>
      <protection locked="0"/>
    </xf>
    <xf numFmtId="4" fontId="51" fillId="0" borderId="189" xfId="80" applyNumberFormat="1" applyFont="1" applyFill="1" applyBorder="1" applyAlignment="1" applyProtection="1">
      <alignment horizontal="right" vertical="center"/>
      <protection locked="0"/>
    </xf>
    <xf numFmtId="0" fontId="2" fillId="37" borderId="11" xfId="92" applyFill="1" applyBorder="1" applyAlignment="1">
      <alignment horizontal="left" vertical="top"/>
      <protection/>
    </xf>
    <xf numFmtId="0" fontId="13" fillId="37" borderId="11" xfId="92" applyFont="1" applyFill="1" applyBorder="1" applyAlignment="1">
      <alignment horizontal="left" vertical="top" wrapText="1"/>
      <protection/>
    </xf>
    <xf numFmtId="4" fontId="13" fillId="37" borderId="12" xfId="92" applyNumberFormat="1" applyFont="1" applyFill="1" applyBorder="1" applyAlignment="1">
      <alignment horizontal="right" vertical="top"/>
      <protection/>
    </xf>
    <xf numFmtId="10" fontId="13" fillId="37" borderId="12" xfId="92" applyNumberFormat="1" applyFont="1" applyFill="1" applyBorder="1" applyAlignment="1">
      <alignment horizontal="right" vertical="top"/>
      <protection/>
    </xf>
    <xf numFmtId="0" fontId="51" fillId="0" borderId="54" xfId="72" applyNumberFormat="1" applyFont="1" applyFill="1" applyBorder="1" applyAlignment="1" applyProtection="1">
      <alignment vertical="top" wrapText="1"/>
      <protection locked="0"/>
    </xf>
    <xf numFmtId="4" fontId="10" fillId="0" borderId="40" xfId="97" applyNumberFormat="1" applyFont="1" applyBorder="1" applyAlignment="1">
      <alignment horizontal="right" vertical="center" wrapText="1"/>
      <protection/>
    </xf>
    <xf numFmtId="4" fontId="10" fillId="0" borderId="40" xfId="97" applyNumberFormat="1" applyFont="1" applyBorder="1" applyAlignment="1">
      <alignment horizontal="right" vertical="center"/>
      <protection/>
    </xf>
    <xf numFmtId="4" fontId="10" fillId="35" borderId="40" xfId="97" applyNumberFormat="1" applyFont="1" applyFill="1" applyBorder="1" applyAlignment="1">
      <alignment horizontal="right" vertical="center"/>
      <protection/>
    </xf>
    <xf numFmtId="4" fontId="8" fillId="38" borderId="12" xfId="97" applyNumberFormat="1" applyFont="1" applyFill="1" applyBorder="1" applyAlignment="1">
      <alignment horizontal="right" vertical="center" wrapText="1"/>
      <protection/>
    </xf>
    <xf numFmtId="43" fontId="10" fillId="37" borderId="40" xfId="97" applyNumberFormat="1" applyFont="1" applyFill="1" applyBorder="1" applyAlignment="1">
      <alignment horizontal="left" vertical="top" wrapText="1"/>
      <protection/>
    </xf>
    <xf numFmtId="4" fontId="10" fillId="37" borderId="40" xfId="97" applyNumberFormat="1" applyFont="1" applyFill="1" applyBorder="1" applyAlignment="1">
      <alignment horizontal="right" vertical="center"/>
      <protection/>
    </xf>
    <xf numFmtId="0" fontId="4" fillId="0" borderId="24" xfId="97" applyFont="1" applyBorder="1" applyAlignment="1">
      <alignment horizontal="center"/>
      <protection/>
    </xf>
    <xf numFmtId="4" fontId="10" fillId="0" borderId="147" xfId="97" applyNumberFormat="1" applyFont="1" applyBorder="1" applyAlignment="1">
      <alignment horizontal="right" vertical="center"/>
      <protection/>
    </xf>
    <xf numFmtId="4" fontId="8" fillId="38" borderId="40" xfId="97" applyNumberFormat="1" applyFont="1" applyFill="1" applyBorder="1" applyAlignment="1">
      <alignment horizontal="right" vertical="center"/>
      <protection/>
    </xf>
    <xf numFmtId="4" fontId="10" fillId="0" borderId="147" xfId="97" applyNumberFormat="1" applyFont="1" applyBorder="1" applyAlignment="1">
      <alignment horizontal="right" vertical="center" wrapText="1"/>
      <protection/>
    </xf>
    <xf numFmtId="4" fontId="8" fillId="0" borderId="84" xfId="97" applyNumberFormat="1" applyFont="1" applyBorder="1" applyAlignment="1">
      <alignment horizontal="right" vertical="center"/>
      <protection/>
    </xf>
    <xf numFmtId="4" fontId="11" fillId="0" borderId="11" xfId="97" applyNumberFormat="1" applyFont="1" applyFill="1" applyBorder="1" applyAlignment="1">
      <alignment vertical="top"/>
      <protection/>
    </xf>
    <xf numFmtId="4" fontId="11" fillId="0" borderId="11" xfId="97" applyNumberFormat="1" applyFont="1" applyFill="1" applyBorder="1" applyAlignment="1">
      <alignment vertical="center"/>
      <protection/>
    </xf>
    <xf numFmtId="4" fontId="10" fillId="0" borderId="11" xfId="97" applyNumberFormat="1" applyFont="1" applyFill="1" applyBorder="1" applyAlignment="1">
      <alignment vertical="top"/>
      <protection/>
    </xf>
    <xf numFmtId="4" fontId="10" fillId="0" borderId="14" xfId="97" applyNumberFormat="1" applyFont="1" applyFill="1" applyBorder="1" applyAlignment="1">
      <alignment vertical="top"/>
      <protection/>
    </xf>
    <xf numFmtId="10" fontId="4" fillId="0" borderId="111" xfId="97" applyNumberFormat="1" applyFont="1" applyBorder="1" applyAlignment="1">
      <alignment vertical="center"/>
      <protection/>
    </xf>
    <xf numFmtId="0" fontId="13" fillId="37" borderId="11" xfId="92" applyFont="1" applyFill="1" applyBorder="1" applyAlignment="1">
      <alignment horizontal="left" vertical="top"/>
      <protection/>
    </xf>
    <xf numFmtId="4" fontId="13" fillId="37" borderId="11" xfId="92" applyNumberFormat="1" applyFont="1" applyFill="1" applyBorder="1" applyAlignment="1">
      <alignment horizontal="right" vertical="top" wrapText="1"/>
      <protection/>
    </xf>
    <xf numFmtId="10" fontId="13" fillId="37" borderId="11" xfId="92" applyNumberFormat="1" applyFont="1" applyFill="1" applyBorder="1" applyAlignment="1">
      <alignment horizontal="right" vertical="top" wrapText="1"/>
      <protection/>
    </xf>
    <xf numFmtId="49" fontId="13" fillId="37" borderId="11" xfId="92" applyNumberFormat="1" applyFont="1" applyFill="1" applyBorder="1" applyAlignment="1">
      <alignment horizontal="left" vertical="top"/>
      <protection/>
    </xf>
    <xf numFmtId="0" fontId="13" fillId="0" borderId="17" xfId="92" applyFont="1" applyBorder="1" applyAlignment="1">
      <alignment horizontal="left" vertical="top" wrapText="1"/>
      <protection/>
    </xf>
    <xf numFmtId="4" fontId="13" fillId="0" borderId="17" xfId="92" applyNumberFormat="1" applyFont="1" applyBorder="1" applyAlignment="1">
      <alignment horizontal="right" vertical="top"/>
      <protection/>
    </xf>
    <xf numFmtId="0" fontId="2" fillId="52" borderId="18" xfId="92" applyFill="1" applyBorder="1" applyAlignment="1">
      <alignment horizontal="left"/>
      <protection/>
    </xf>
    <xf numFmtId="0" fontId="13" fillId="52" borderId="17" xfId="92" applyFont="1" applyFill="1" applyBorder="1" applyAlignment="1" quotePrefix="1">
      <alignment horizontal="left"/>
      <protection/>
    </xf>
    <xf numFmtId="0" fontId="13" fillId="52" borderId="17" xfId="92" applyFont="1" applyFill="1" applyBorder="1" applyAlignment="1">
      <alignment horizontal="left" vertical="top" wrapText="1"/>
      <protection/>
    </xf>
    <xf numFmtId="4" fontId="13" fillId="52" borderId="17" xfId="92" applyNumberFormat="1" applyFont="1" applyFill="1" applyBorder="1" applyAlignment="1">
      <alignment horizontal="right" vertical="top"/>
      <protection/>
    </xf>
    <xf numFmtId="4" fontId="2" fillId="0" borderId="17" xfId="92" applyNumberFormat="1" applyBorder="1" applyAlignment="1">
      <alignment vertical="top"/>
      <protection/>
    </xf>
    <xf numFmtId="10" fontId="2" fillId="0" borderId="17" xfId="92" applyNumberFormat="1" applyBorder="1" applyAlignment="1">
      <alignment vertical="top"/>
      <protection/>
    </xf>
    <xf numFmtId="10" fontId="2" fillId="52" borderId="17" xfId="92" applyNumberFormat="1" applyFill="1" applyBorder="1" applyAlignment="1">
      <alignment vertical="top"/>
      <protection/>
    </xf>
    <xf numFmtId="4" fontId="29" fillId="0" borderId="66" xfId="95" applyNumberFormat="1" applyFont="1" applyBorder="1" applyAlignment="1">
      <alignment horizontal="right" vertical="top" wrapText="1"/>
      <protection/>
    </xf>
    <xf numFmtId="0" fontId="36" fillId="43" borderId="25" xfId="95" applyFont="1" applyFill="1" applyBorder="1" applyAlignment="1">
      <alignment horizontal="left" vertical="top" wrapText="1"/>
      <protection/>
    </xf>
    <xf numFmtId="0" fontId="29" fillId="52" borderId="11" xfId="95" applyFont="1" applyFill="1" applyBorder="1" applyAlignment="1">
      <alignment vertical="top" wrapText="1"/>
      <protection/>
    </xf>
    <xf numFmtId="0" fontId="30" fillId="52" borderId="11" xfId="95" applyFont="1" applyFill="1" applyBorder="1" applyAlignment="1">
      <alignment horizontal="left" vertical="center" wrapText="1"/>
      <protection/>
    </xf>
    <xf numFmtId="0" fontId="29" fillId="52" borderId="11" xfId="95" applyFont="1" applyFill="1" applyBorder="1" applyAlignment="1">
      <alignment horizontal="left" vertical="top" wrapText="1"/>
      <protection/>
    </xf>
    <xf numFmtId="4" fontId="29" fillId="52" borderId="11" xfId="95" applyNumberFormat="1" applyFont="1" applyFill="1" applyBorder="1" applyAlignment="1">
      <alignment horizontal="right" vertical="top" wrapText="1"/>
      <protection/>
    </xf>
    <xf numFmtId="10" fontId="35" fillId="0" borderId="17" xfId="54" applyNumberFormat="1" applyFont="1" applyBorder="1" applyAlignment="1">
      <alignment vertical="center" wrapText="1"/>
    </xf>
    <xf numFmtId="4" fontId="11" fillId="37" borderId="87" xfId="97" applyNumberFormat="1" applyFont="1" applyFill="1" applyBorder="1" applyAlignment="1">
      <alignment horizontal="right" vertical="center" wrapText="1"/>
      <protection/>
    </xf>
    <xf numFmtId="4" fontId="10" fillId="37" borderId="11" xfId="97" applyNumberFormat="1" applyFont="1" applyFill="1" applyBorder="1" applyAlignment="1">
      <alignment vertical="center" wrapText="1"/>
      <protection/>
    </xf>
    <xf numFmtId="4" fontId="10" fillId="0" borderId="14" xfId="97" applyNumberFormat="1" applyFont="1" applyFill="1" applyBorder="1" applyAlignment="1">
      <alignment vertical="center" wrapText="1"/>
      <protection/>
    </xf>
    <xf numFmtId="4" fontId="2" fillId="0" borderId="31" xfId="98" applyNumberFormat="1" applyFont="1" applyFill="1" applyBorder="1" applyAlignment="1">
      <alignment horizontal="right" vertical="center"/>
      <protection/>
    </xf>
    <xf numFmtId="4" fontId="2" fillId="0" borderId="11" xfId="98" applyNumberFormat="1" applyFont="1" applyFill="1" applyBorder="1" applyAlignment="1">
      <alignment horizontal="right" vertical="center"/>
      <protection/>
    </xf>
    <xf numFmtId="4" fontId="2" fillId="0" borderId="63" xfId="98" applyNumberFormat="1" applyFont="1" applyFill="1" applyBorder="1" applyAlignment="1">
      <alignment horizontal="right" vertical="center"/>
      <protection/>
    </xf>
    <xf numFmtId="4" fontId="2" fillId="0" borderId="34" xfId="98" applyNumberFormat="1" applyFont="1" applyFill="1" applyBorder="1" applyAlignment="1">
      <alignment horizontal="right" vertical="center"/>
      <protection/>
    </xf>
    <xf numFmtId="4" fontId="2" fillId="0" borderId="37" xfId="98" applyNumberFormat="1" applyFont="1" applyFill="1" applyBorder="1" applyAlignment="1">
      <alignment horizontal="right" vertical="center"/>
      <protection/>
    </xf>
    <xf numFmtId="4" fontId="2" fillId="0" borderId="35" xfId="98" applyNumberFormat="1" applyFont="1" applyFill="1" applyBorder="1" applyAlignment="1">
      <alignment horizontal="right" vertical="center"/>
      <protection/>
    </xf>
    <xf numFmtId="4" fontId="0" fillId="0" borderId="11" xfId="0" applyNumberFormat="1" applyFill="1" applyBorder="1" applyAlignment="1">
      <alignment vertical="top"/>
    </xf>
    <xf numFmtId="49" fontId="6" fillId="44" borderId="190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56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80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36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95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110" xfId="80" applyNumberFormat="1" applyFont="1" applyFill="1" applyBorder="1" applyAlignment="1" applyProtection="1">
      <alignment horizontal="center" vertical="center" wrapText="1"/>
      <protection locked="0"/>
    </xf>
    <xf numFmtId="0" fontId="63" fillId="0" borderId="23" xfId="80" applyNumberFormat="1" applyFont="1" applyFill="1" applyBorder="1" applyAlignment="1" applyProtection="1">
      <alignment horizontal="center" vertical="center" wrapText="1"/>
      <protection locked="0"/>
    </xf>
    <xf numFmtId="0" fontId="63" fillId="0" borderId="13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54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64" fillId="44" borderId="28" xfId="8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80" applyNumberFormat="1" applyFont="1" applyFill="1" applyBorder="1" applyAlignment="1" applyProtection="1">
      <alignment horizontal="center"/>
      <protection locked="0"/>
    </xf>
    <xf numFmtId="0" fontId="50" fillId="0" borderId="0" xfId="80" applyNumberFormat="1" applyFont="1" applyFill="1" applyBorder="1" applyAlignment="1" applyProtection="1">
      <alignment horizontal="center"/>
      <protection locked="0"/>
    </xf>
    <xf numFmtId="49" fontId="6" fillId="44" borderId="11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40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47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8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46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46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03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03" xfId="80" applyNumberFormat="1" applyFont="1" applyFill="1" applyBorder="1" applyAlignment="1" applyProtection="1">
      <alignment horizontal="center" vertical="center" wrapText="1"/>
      <protection locked="0"/>
    </xf>
    <xf numFmtId="0" fontId="145" fillId="0" borderId="11" xfId="74" applyNumberFormat="1" applyFont="1" applyFill="1" applyBorder="1" applyAlignment="1" applyProtection="1">
      <alignment horizontal="left" vertical="center"/>
      <protection locked="0"/>
    </xf>
    <xf numFmtId="0" fontId="145" fillId="0" borderId="54" xfId="74" applyNumberFormat="1" applyFont="1" applyFill="1" applyBorder="1" applyAlignment="1" applyProtection="1">
      <alignment horizontal="left" vertical="center"/>
      <protection locked="0"/>
    </xf>
    <xf numFmtId="0" fontId="51" fillId="0" borderId="159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91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66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66" fillId="0" borderId="150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59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91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4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4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0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0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9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12" fillId="0" borderId="164" xfId="0" applyFont="1" applyBorder="1" applyAlignment="1">
      <alignment horizontal="left" vertical="center" wrapText="1"/>
    </xf>
    <xf numFmtId="49" fontId="20" fillId="44" borderId="11" xfId="80" applyNumberFormat="1" applyFont="1" applyFill="1" applyBorder="1" applyAlignment="1" applyProtection="1">
      <alignment horizontal="center" vertical="center" wrapText="1"/>
      <protection locked="0"/>
    </xf>
    <xf numFmtId="49" fontId="35" fillId="44" borderId="28" xfId="80" applyNumberFormat="1" applyFont="1" applyFill="1" applyBorder="1" applyAlignment="1" applyProtection="1">
      <alignment horizontal="right" vertical="center" wrapText="1"/>
      <protection locked="0"/>
    </xf>
    <xf numFmtId="49" fontId="35" fillId="44" borderId="45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93" xfId="74" applyNumberFormat="1" applyFont="1" applyFill="1" applyBorder="1" applyAlignment="1" applyProtection="1">
      <alignment horizontal="left" vertical="top" wrapText="1"/>
      <protection locked="0"/>
    </xf>
    <xf numFmtId="0" fontId="5" fillId="0" borderId="194" xfId="74" applyNumberFormat="1" applyFont="1" applyFill="1" applyBorder="1" applyAlignment="1" applyProtection="1">
      <alignment horizontal="left" vertical="top" wrapText="1"/>
      <protection locked="0"/>
    </xf>
    <xf numFmtId="0" fontId="153" fillId="0" borderId="195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96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50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7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8" xfId="74" applyNumberFormat="1" applyFont="1" applyFill="1" applyBorder="1" applyAlignment="1" applyProtection="1">
      <alignment horizontal="left" vertical="center" wrapText="1"/>
      <protection locked="0"/>
    </xf>
    <xf numFmtId="49" fontId="20" fillId="44" borderId="54" xfId="80" applyNumberFormat="1" applyFont="1" applyFill="1" applyBorder="1" applyAlignment="1" applyProtection="1">
      <alignment horizontal="center" vertical="center" wrapText="1"/>
      <protection locked="0"/>
    </xf>
    <xf numFmtId="0" fontId="153" fillId="0" borderId="168" xfId="74" applyNumberFormat="1" applyFont="1" applyFill="1" applyBorder="1" applyAlignment="1" applyProtection="1">
      <alignment horizontal="left" vertical="center" wrapText="1"/>
      <protection locked="0"/>
    </xf>
    <xf numFmtId="0" fontId="145" fillId="0" borderId="17" xfId="74" applyNumberFormat="1" applyFont="1" applyFill="1" applyBorder="1" applyAlignment="1" applyProtection="1">
      <alignment horizontal="left" vertical="center" wrapText="1"/>
      <protection locked="0"/>
    </xf>
    <xf numFmtId="0" fontId="145" fillId="0" borderId="66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74" xfId="74" applyNumberFormat="1" applyFont="1" applyFill="1" applyBorder="1" applyAlignment="1" applyProtection="1">
      <alignment horizontal="left" vertical="center" wrapText="1"/>
      <protection locked="0"/>
    </xf>
    <xf numFmtId="0" fontId="155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55" fillId="0" borderId="49" xfId="95" applyFont="1" applyBorder="1" applyAlignment="1">
      <alignment horizontal="center" vertical="center"/>
      <protection/>
    </xf>
    <xf numFmtId="0" fontId="55" fillId="0" borderId="199" xfId="95" applyFont="1" applyBorder="1" applyAlignment="1">
      <alignment horizontal="center" vertical="center" wrapText="1"/>
      <protection/>
    </xf>
    <xf numFmtId="0" fontId="55" fillId="0" borderId="200" xfId="95" applyFont="1" applyBorder="1" applyAlignment="1">
      <alignment horizontal="center" vertical="center" wrapText="1"/>
      <protection/>
    </xf>
    <xf numFmtId="0" fontId="55" fillId="0" borderId="129" xfId="95" applyFont="1" applyBorder="1" applyAlignment="1">
      <alignment horizontal="center" vertical="center" wrapText="1"/>
      <protection/>
    </xf>
    <xf numFmtId="0" fontId="55" fillId="0" borderId="201" xfId="95" applyFont="1" applyBorder="1" applyAlignment="1">
      <alignment horizontal="center" vertical="center" wrapText="1"/>
      <protection/>
    </xf>
    <xf numFmtId="0" fontId="55" fillId="0" borderId="122" xfId="95" applyFont="1" applyBorder="1" applyAlignment="1">
      <alignment horizontal="center" vertical="center" wrapText="1"/>
      <protection/>
    </xf>
    <xf numFmtId="0" fontId="55" fillId="0" borderId="202" xfId="95" applyFont="1" applyBorder="1" applyAlignment="1">
      <alignment horizontal="center" vertical="center" wrapText="1"/>
      <protection/>
    </xf>
    <xf numFmtId="0" fontId="27" fillId="0" borderId="203" xfId="95" applyFont="1" applyBorder="1" applyAlignment="1">
      <alignment horizontal="center" vertical="center" wrapText="1"/>
      <protection/>
    </xf>
    <xf numFmtId="0" fontId="27" fillId="0" borderId="132" xfId="95" applyFont="1" applyBorder="1" applyAlignment="1">
      <alignment horizontal="center" vertical="center" wrapText="1"/>
      <protection/>
    </xf>
    <xf numFmtId="0" fontId="27" fillId="0" borderId="136" xfId="95" applyFont="1" applyBorder="1" applyAlignment="1">
      <alignment horizontal="center" vertical="center" wrapText="1"/>
      <protection/>
    </xf>
    <xf numFmtId="4" fontId="23" fillId="39" borderId="52" xfId="95" applyNumberFormat="1" applyFont="1" applyFill="1" applyBorder="1" applyAlignment="1">
      <alignment horizontal="center" vertical="center"/>
      <protection/>
    </xf>
    <xf numFmtId="4" fontId="23" fillId="39" borderId="204" xfId="95" applyNumberFormat="1" applyFont="1" applyFill="1" applyBorder="1" applyAlignment="1">
      <alignment horizontal="center" vertical="center"/>
      <protection/>
    </xf>
    <xf numFmtId="4" fontId="23" fillId="39" borderId="205" xfId="95" applyNumberFormat="1" applyFont="1" applyFill="1" applyBorder="1" applyAlignment="1">
      <alignment horizontal="center" vertical="center"/>
      <protection/>
    </xf>
    <xf numFmtId="0" fontId="22" fillId="0" borderId="0" xfId="95" applyFont="1" applyBorder="1" applyAlignment="1">
      <alignment horizontal="left" vertical="top" wrapText="1"/>
      <protection/>
    </xf>
    <xf numFmtId="0" fontId="23" fillId="0" borderId="0" xfId="95" applyFont="1" applyBorder="1" applyAlignment="1">
      <alignment horizontal="center" vertical="center"/>
      <protection/>
    </xf>
    <xf numFmtId="0" fontId="23" fillId="0" borderId="0" xfId="95" applyFont="1" applyBorder="1" applyAlignment="1">
      <alignment horizontal="center" wrapText="1"/>
      <protection/>
    </xf>
    <xf numFmtId="0" fontId="23" fillId="0" borderId="0" xfId="95" applyFont="1" applyBorder="1" applyAlignment="1">
      <alignment horizontal="center"/>
      <protection/>
    </xf>
    <xf numFmtId="0" fontId="55" fillId="0" borderId="25" xfId="95" applyFont="1" applyBorder="1" applyAlignment="1">
      <alignment horizontal="center" vertical="center" wrapText="1"/>
      <protection/>
    </xf>
    <xf numFmtId="0" fontId="55" fillId="0" borderId="48" xfId="95" applyFont="1" applyBorder="1" applyAlignment="1">
      <alignment horizontal="center" vertical="center" wrapText="1"/>
      <protection/>
    </xf>
    <xf numFmtId="0" fontId="55" fillId="0" borderId="206" xfId="95" applyFont="1" applyBorder="1" applyAlignment="1">
      <alignment horizontal="center" vertical="center"/>
      <protection/>
    </xf>
    <xf numFmtId="0" fontId="55" fillId="0" borderId="207" xfId="95" applyFont="1" applyBorder="1" applyAlignment="1">
      <alignment horizontal="center" vertical="center"/>
      <protection/>
    </xf>
    <xf numFmtId="0" fontId="4" fillId="0" borderId="11" xfId="98" applyFont="1" applyBorder="1" applyAlignment="1">
      <alignment horizontal="center" vertical="center" wrapText="1"/>
      <protection/>
    </xf>
    <xf numFmtId="49" fontId="13" fillId="0" borderId="14" xfId="98" applyNumberFormat="1" applyFont="1" applyBorder="1" applyAlignment="1">
      <alignment horizontal="center" vertical="center"/>
      <protection/>
    </xf>
    <xf numFmtId="0" fontId="0" fillId="0" borderId="208" xfId="0" applyBorder="1" applyAlignment="1">
      <alignment horizontal="center" vertical="center"/>
    </xf>
    <xf numFmtId="0" fontId="27" fillId="0" borderId="11" xfId="98" applyFont="1" applyBorder="1" applyAlignment="1">
      <alignment horizontal="center" vertical="center" wrapText="1"/>
      <protection/>
    </xf>
    <xf numFmtId="0" fontId="2" fillId="0" borderId="14" xfId="98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6" fillId="0" borderId="0" xfId="98" applyFont="1" applyAlignment="1">
      <alignment horizontal="left"/>
      <protection/>
    </xf>
    <xf numFmtId="10" fontId="4" fillId="0" borderId="11" xfId="98" applyNumberFormat="1" applyFont="1" applyBorder="1" applyAlignment="1">
      <alignment horizontal="center" vertical="center" wrapText="1"/>
      <protection/>
    </xf>
    <xf numFmtId="0" fontId="4" fillId="0" borderId="54" xfId="98" applyFont="1" applyBorder="1" applyAlignment="1">
      <alignment horizontal="center" vertical="center" wrapText="1"/>
      <protection/>
    </xf>
    <xf numFmtId="49" fontId="2" fillId="0" borderId="14" xfId="98" applyNumberForma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4" fillId="0" borderId="138" xfId="98" applyFont="1" applyBorder="1" applyAlignment="1">
      <alignment horizontal="right"/>
      <protection/>
    </xf>
    <xf numFmtId="0" fontId="4" fillId="0" borderId="209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 vertical="center"/>
      <protection/>
    </xf>
    <xf numFmtId="49" fontId="18" fillId="0" borderId="11" xfId="98" applyNumberFormat="1" applyFont="1" applyBorder="1" applyAlignment="1">
      <alignment horizontal="center"/>
      <protection/>
    </xf>
    <xf numFmtId="49" fontId="4" fillId="0" borderId="14" xfId="98" applyNumberFormat="1" applyFont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49" fontId="4" fillId="0" borderId="23" xfId="98" applyNumberFormat="1" applyFont="1" applyBorder="1" applyAlignment="1">
      <alignment horizontal="center" vertical="center" wrapText="1"/>
      <protection/>
    </xf>
    <xf numFmtId="0" fontId="0" fillId="0" borderId="210" xfId="0" applyBorder="1" applyAlignment="1">
      <alignment horizontal="center" vertical="center" wrapText="1"/>
    </xf>
    <xf numFmtId="0" fontId="0" fillId="0" borderId="208" xfId="0" applyBorder="1" applyAlignment="1">
      <alignment horizontal="left" vertical="center" wrapText="1"/>
    </xf>
    <xf numFmtId="0" fontId="10" fillId="37" borderId="14" xfId="97" applyFont="1" applyFill="1" applyBorder="1" applyAlignment="1">
      <alignment horizontal="center" vertical="center" wrapText="1"/>
      <protection/>
    </xf>
    <xf numFmtId="0" fontId="10" fillId="37" borderId="15" xfId="97" applyFont="1" applyFill="1" applyBorder="1" applyAlignment="1">
      <alignment horizontal="center" vertical="center" wrapText="1"/>
      <protection/>
    </xf>
    <xf numFmtId="0" fontId="10" fillId="37" borderId="10" xfId="97" applyFont="1" applyFill="1" applyBorder="1" applyAlignment="1">
      <alignment horizontal="center" vertical="center" wrapText="1"/>
      <protection/>
    </xf>
    <xf numFmtId="0" fontId="9" fillId="0" borderId="14" xfId="97" applyFont="1" applyBorder="1" applyAlignment="1">
      <alignment horizontal="center" vertical="top" wrapText="1"/>
      <protection/>
    </xf>
    <xf numFmtId="0" fontId="9" fillId="0" borderId="15" xfId="97" applyFont="1" applyBorder="1" applyAlignment="1">
      <alignment horizontal="center" vertical="top" wrapText="1"/>
      <protection/>
    </xf>
    <xf numFmtId="0" fontId="9" fillId="0" borderId="17" xfId="97" applyFont="1" applyBorder="1" applyAlignment="1">
      <alignment horizontal="center" vertical="top" wrapText="1"/>
      <protection/>
    </xf>
    <xf numFmtId="0" fontId="8" fillId="0" borderId="211" xfId="97" applyFont="1" applyFill="1" applyBorder="1" applyAlignment="1">
      <alignment horizontal="center" vertical="center" wrapText="1"/>
      <protection/>
    </xf>
    <xf numFmtId="0" fontId="8" fillId="0" borderId="78" xfId="97" applyFont="1" applyFill="1" applyBorder="1" applyAlignment="1">
      <alignment horizontal="center" vertical="center" wrapText="1"/>
      <protection/>
    </xf>
    <xf numFmtId="43" fontId="8" fillId="0" borderId="86" xfId="97" applyNumberFormat="1" applyFont="1" applyFill="1" applyBorder="1" applyAlignment="1">
      <alignment horizontal="center" vertical="center" wrapText="1"/>
      <protection/>
    </xf>
    <xf numFmtId="43" fontId="8" fillId="0" borderId="22" xfId="97" applyNumberFormat="1" applyFont="1" applyFill="1" applyBorder="1" applyAlignment="1">
      <alignment horizontal="center" vertical="center" wrapText="1"/>
      <protection/>
    </xf>
    <xf numFmtId="43" fontId="8" fillId="0" borderId="82" xfId="97" applyNumberFormat="1" applyFont="1" applyFill="1" applyBorder="1" applyAlignment="1">
      <alignment horizontal="center" vertical="center" wrapText="1"/>
      <protection/>
    </xf>
    <xf numFmtId="43" fontId="8" fillId="0" borderId="97" xfId="97" applyNumberFormat="1" applyFont="1" applyFill="1" applyBorder="1" applyAlignment="1">
      <alignment horizontal="center" vertical="center" wrapText="1"/>
      <protection/>
    </xf>
    <xf numFmtId="0" fontId="8" fillId="0" borderId="92" xfId="97" applyFont="1" applyBorder="1" applyAlignment="1">
      <alignment horizontal="right" vertical="center"/>
      <protection/>
    </xf>
    <xf numFmtId="0" fontId="8" fillId="0" borderId="84" xfId="97" applyFont="1" applyBorder="1" applyAlignment="1">
      <alignment horizontal="right" vertical="center"/>
      <protection/>
    </xf>
    <xf numFmtId="43" fontId="8" fillId="37" borderId="212" xfId="97" applyNumberFormat="1" applyFont="1" applyFill="1" applyBorder="1" applyAlignment="1">
      <alignment horizontal="center" vertical="center" wrapText="1"/>
      <protection/>
    </xf>
    <xf numFmtId="43" fontId="8" fillId="37" borderId="94" xfId="97" applyNumberFormat="1" applyFont="1" applyFill="1" applyBorder="1" applyAlignment="1">
      <alignment horizontal="center" vertical="center" wrapText="1"/>
      <protection/>
    </xf>
    <xf numFmtId="43" fontId="8" fillId="37" borderId="213" xfId="97" applyNumberFormat="1" applyFont="1" applyFill="1" applyBorder="1" applyAlignment="1">
      <alignment horizontal="center" vertical="center" wrapText="1"/>
      <protection/>
    </xf>
    <xf numFmtId="43" fontId="8" fillId="37" borderId="90" xfId="97" applyNumberFormat="1" applyFont="1" applyFill="1" applyBorder="1" applyAlignment="1">
      <alignment horizontal="center" vertical="center" wrapText="1"/>
      <protection/>
    </xf>
    <xf numFmtId="0" fontId="9" fillId="37" borderId="14" xfId="97" applyFont="1" applyFill="1" applyBorder="1" applyAlignment="1">
      <alignment horizontal="center" vertical="top" wrapText="1"/>
      <protection/>
    </xf>
    <xf numFmtId="0" fontId="9" fillId="37" borderId="15" xfId="97" applyFont="1" applyFill="1" applyBorder="1" applyAlignment="1">
      <alignment horizontal="center" vertical="top" wrapText="1"/>
      <protection/>
    </xf>
    <xf numFmtId="0" fontId="9" fillId="37" borderId="17" xfId="97" applyFont="1" applyFill="1" applyBorder="1" applyAlignment="1">
      <alignment horizontal="center" vertical="top" wrapText="1"/>
      <protection/>
    </xf>
    <xf numFmtId="0" fontId="8" fillId="37" borderId="14" xfId="97" applyFont="1" applyFill="1" applyBorder="1" applyAlignment="1">
      <alignment horizontal="center" vertical="top" wrapText="1"/>
      <protection/>
    </xf>
    <xf numFmtId="0" fontId="8" fillId="37" borderId="15" xfId="97" applyFont="1" applyFill="1" applyBorder="1" applyAlignment="1">
      <alignment horizontal="center" vertical="top" wrapText="1"/>
      <protection/>
    </xf>
    <xf numFmtId="0" fontId="17" fillId="0" borderId="97" xfId="97" applyFont="1" applyBorder="1" applyAlignment="1">
      <alignment horizontal="left" vertical="top" wrapText="1"/>
      <protection/>
    </xf>
    <xf numFmtId="0" fontId="17" fillId="0" borderId="102" xfId="97" applyFont="1" applyBorder="1" applyAlignment="1">
      <alignment horizontal="left" vertical="top"/>
      <protection/>
    </xf>
    <xf numFmtId="0" fontId="8" fillId="0" borderId="22" xfId="97" applyFont="1" applyFill="1" applyBorder="1" applyAlignment="1">
      <alignment horizontal="center" vertical="center" wrapText="1"/>
      <protection/>
    </xf>
    <xf numFmtId="0" fontId="8" fillId="0" borderId="11" xfId="97" applyFont="1" applyFill="1" applyBorder="1" applyAlignment="1">
      <alignment horizontal="center" vertical="center" wrapText="1"/>
      <protection/>
    </xf>
    <xf numFmtId="0" fontId="8" fillId="0" borderId="82" xfId="97" applyFont="1" applyFill="1" applyBorder="1" applyAlignment="1">
      <alignment horizontal="center" vertical="center" wrapText="1"/>
      <protection/>
    </xf>
    <xf numFmtId="0" fontId="8" fillId="0" borderId="54" xfId="97" applyFont="1" applyFill="1" applyBorder="1" applyAlignment="1">
      <alignment horizontal="center" vertical="center" wrapText="1"/>
      <protection/>
    </xf>
    <xf numFmtId="43" fontId="8" fillId="37" borderId="22" xfId="97" applyNumberFormat="1" applyFont="1" applyFill="1" applyBorder="1" applyAlignment="1">
      <alignment horizontal="center" vertical="center" wrapText="1"/>
      <protection/>
    </xf>
    <xf numFmtId="43" fontId="8" fillId="37" borderId="11" xfId="97" applyNumberFormat="1" applyFont="1" applyFill="1" applyBorder="1" applyAlignment="1">
      <alignment horizontal="center" vertical="center" wrapText="1"/>
      <protection/>
    </xf>
    <xf numFmtId="0" fontId="6" fillId="0" borderId="0" xfId="98" applyFont="1" applyAlignment="1">
      <alignment horizontal="left" vertical="top" wrapText="1"/>
      <protection/>
    </xf>
    <xf numFmtId="0" fontId="7" fillId="0" borderId="0" xfId="97" applyFont="1" applyBorder="1" applyAlignment="1">
      <alignment horizontal="left" vertical="center"/>
      <protection/>
    </xf>
    <xf numFmtId="0" fontId="8" fillId="0" borderId="214" xfId="97" applyFont="1" applyFill="1" applyBorder="1" applyAlignment="1">
      <alignment horizontal="center" vertical="center" wrapText="1"/>
      <protection/>
    </xf>
    <xf numFmtId="0" fontId="8" fillId="0" borderId="10" xfId="97" applyFont="1" applyFill="1" applyBorder="1" applyAlignment="1">
      <alignment horizontal="center" vertical="center" wrapText="1"/>
      <protection/>
    </xf>
    <xf numFmtId="0" fontId="7" fillId="0" borderId="0" xfId="97" applyFont="1" applyAlignment="1">
      <alignment horizontal="center" vertical="top" wrapText="1"/>
      <protection/>
    </xf>
    <xf numFmtId="0" fontId="132" fillId="0" borderId="11" xfId="0" applyFont="1" applyBorder="1" applyAlignment="1">
      <alignment horizontal="right" vertical="center"/>
    </xf>
    <xf numFmtId="0" fontId="132" fillId="0" borderId="54" xfId="0" applyFont="1" applyBorder="1" applyAlignment="1">
      <alignment horizontal="center"/>
    </xf>
    <xf numFmtId="0" fontId="132" fillId="0" borderId="40" xfId="0" applyFont="1" applyBorder="1" applyAlignment="1">
      <alignment horizontal="center"/>
    </xf>
    <xf numFmtId="0" fontId="132" fillId="0" borderId="12" xfId="0" applyFont="1" applyBorder="1" applyAlignment="1">
      <alignment horizontal="center"/>
    </xf>
    <xf numFmtId="43" fontId="8" fillId="0" borderId="14" xfId="97" applyNumberFormat="1" applyFont="1" applyFill="1" applyBorder="1" applyAlignment="1">
      <alignment horizontal="center" vertical="center" wrapText="1"/>
      <protection/>
    </xf>
    <xf numFmtId="43" fontId="8" fillId="0" borderId="17" xfId="97" applyNumberFormat="1" applyFont="1" applyFill="1" applyBorder="1" applyAlignment="1">
      <alignment horizontal="center" vertical="center" wrapText="1"/>
      <protection/>
    </xf>
    <xf numFmtId="0" fontId="8" fillId="0" borderId="14" xfId="97" applyFont="1" applyFill="1" applyBorder="1" applyAlignment="1">
      <alignment horizontal="center" vertical="center" wrapText="1"/>
      <protection/>
    </xf>
    <xf numFmtId="0" fontId="8" fillId="0" borderId="15" xfId="97" applyFont="1" applyFill="1" applyBorder="1" applyAlignment="1">
      <alignment horizontal="center" vertical="center" wrapText="1"/>
      <protection/>
    </xf>
    <xf numFmtId="0" fontId="8" fillId="0" borderId="17" xfId="97" applyFont="1" applyFill="1" applyBorder="1" applyAlignment="1">
      <alignment horizontal="center" vertical="center" wrapText="1"/>
      <protection/>
    </xf>
    <xf numFmtId="0" fontId="16" fillId="0" borderId="14" xfId="97" applyFont="1" applyFill="1" applyBorder="1" applyAlignment="1">
      <alignment horizontal="center" vertical="center" wrapText="1"/>
      <protection/>
    </xf>
    <xf numFmtId="0" fontId="16" fillId="0" borderId="17" xfId="97" applyFont="1" applyFill="1" applyBorder="1" applyAlignment="1">
      <alignment horizontal="center" vertical="center" wrapText="1"/>
      <protection/>
    </xf>
    <xf numFmtId="0" fontId="8" fillId="0" borderId="12" xfId="97" applyFont="1" applyFill="1" applyBorder="1" applyAlignment="1">
      <alignment horizontal="center" vertical="center" wrapText="1"/>
      <protection/>
    </xf>
    <xf numFmtId="0" fontId="36" fillId="0" borderId="0" xfId="95" applyFont="1" applyAlignment="1">
      <alignment horizontal="right" vertical="top" wrapText="1"/>
      <protection/>
    </xf>
    <xf numFmtId="0" fontId="8" fillId="0" borderId="40" xfId="97" applyFont="1" applyFill="1" applyBorder="1" applyAlignment="1">
      <alignment horizontal="center" vertical="center" wrapText="1"/>
      <protection/>
    </xf>
    <xf numFmtId="0" fontId="3" fillId="0" borderId="0" xfId="95" applyFont="1" applyAlignment="1">
      <alignment horizontal="left" vertical="top"/>
      <protection/>
    </xf>
    <xf numFmtId="0" fontId="3" fillId="0" borderId="0" xfId="95" applyFont="1" applyAlignment="1">
      <alignment horizontal="left" vertical="top" wrapText="1"/>
      <protection/>
    </xf>
    <xf numFmtId="0" fontId="43" fillId="0" borderId="0" xfId="0" applyFont="1" applyAlignment="1">
      <alignment horizontal="center" vertical="center" wrapText="1"/>
    </xf>
    <xf numFmtId="0" fontId="11" fillId="0" borderId="14" xfId="97" applyFont="1" applyBorder="1" applyAlignment="1">
      <alignment horizontal="center" vertical="top" wrapText="1"/>
      <protection/>
    </xf>
    <xf numFmtId="0" fontId="11" fillId="0" borderId="15" xfId="97" applyFont="1" applyBorder="1" applyAlignment="1">
      <alignment horizontal="center" vertical="top" wrapText="1"/>
      <protection/>
    </xf>
    <xf numFmtId="43" fontId="8" fillId="0" borderId="213" xfId="97" applyNumberFormat="1" applyFont="1" applyFill="1" applyBorder="1" applyAlignment="1">
      <alignment horizontal="center" vertical="center" wrapText="1"/>
      <protection/>
    </xf>
    <xf numFmtId="43" fontId="8" fillId="0" borderId="83" xfId="97" applyNumberFormat="1" applyFont="1" applyFill="1" applyBorder="1" applyAlignment="1">
      <alignment horizontal="center" vertical="center" wrapText="1"/>
      <protection/>
    </xf>
    <xf numFmtId="43" fontId="8" fillId="0" borderId="101" xfId="97" applyNumberFormat="1" applyFont="1" applyFill="1" applyBorder="1" applyAlignment="1">
      <alignment horizontal="center" vertical="center" wrapText="1"/>
      <protection/>
    </xf>
    <xf numFmtId="0" fontId="3" fillId="0" borderId="0" xfId="98" applyFont="1" applyAlignment="1">
      <alignment horizontal="left"/>
      <protection/>
    </xf>
    <xf numFmtId="0" fontId="7" fillId="0" borderId="0" xfId="97" applyFont="1" applyAlignment="1">
      <alignment horizontal="center" wrapText="1"/>
      <protection/>
    </xf>
    <xf numFmtId="0" fontId="7" fillId="0" borderId="0" xfId="97" applyFont="1" applyBorder="1" applyAlignment="1">
      <alignment horizontal="center"/>
      <protection/>
    </xf>
    <xf numFmtId="0" fontId="36" fillId="0" borderId="0" xfId="98" applyFont="1" applyAlignment="1">
      <alignment horizontal="right"/>
      <protection/>
    </xf>
    <xf numFmtId="0" fontId="16" fillId="37" borderId="14" xfId="97" applyFont="1" applyFill="1" applyBorder="1" applyAlignment="1">
      <alignment horizontal="center" vertical="center" wrapText="1"/>
      <protection/>
    </xf>
    <xf numFmtId="0" fontId="16" fillId="37" borderId="15" xfId="97" applyFont="1" applyFill="1" applyBorder="1" applyAlignment="1">
      <alignment horizontal="center" vertical="center" wrapText="1"/>
      <protection/>
    </xf>
    <xf numFmtId="0" fontId="29" fillId="0" borderId="58" xfId="95" applyFont="1" applyFill="1" applyBorder="1" applyAlignment="1">
      <alignment horizontal="center" vertical="top" wrapText="1"/>
      <protection/>
    </xf>
    <xf numFmtId="0" fontId="29" fillId="0" borderId="41" xfId="95" applyFont="1" applyFill="1" applyBorder="1" applyAlignment="1">
      <alignment horizontal="center" vertical="top" wrapText="1"/>
      <protection/>
    </xf>
    <xf numFmtId="0" fontId="29" fillId="0" borderId="74" xfId="95" applyFont="1" applyFill="1" applyBorder="1" applyAlignment="1">
      <alignment horizontal="center" vertical="top" wrapText="1"/>
      <protection/>
    </xf>
    <xf numFmtId="0" fontId="14" fillId="0" borderId="215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center" vertical="top" wrapText="1"/>
      <protection/>
    </xf>
    <xf numFmtId="0" fontId="29" fillId="0" borderId="17" xfId="95" applyFont="1" applyFill="1" applyBorder="1" applyAlignment="1">
      <alignment horizontal="center" vertical="top" wrapText="1"/>
      <protection/>
    </xf>
    <xf numFmtId="0" fontId="14" fillId="0" borderId="67" xfId="95" applyFont="1" applyFill="1" applyBorder="1" applyAlignment="1">
      <alignment horizontal="center" vertical="center" wrapText="1"/>
      <protection/>
    </xf>
    <xf numFmtId="0" fontId="14" fillId="0" borderId="25" xfId="95" applyFont="1" applyFill="1" applyBorder="1" applyAlignment="1">
      <alignment horizontal="center" vertical="center" wrapText="1"/>
      <protection/>
    </xf>
    <xf numFmtId="0" fontId="14" fillId="0" borderId="18" xfId="95" applyFont="1" applyBorder="1" applyAlignment="1">
      <alignment horizontal="left" vertical="center" wrapText="1"/>
      <protection/>
    </xf>
    <xf numFmtId="0" fontId="36" fillId="37" borderId="14" xfId="95" applyFont="1" applyFill="1" applyBorder="1" applyAlignment="1">
      <alignment horizontal="center" vertical="top" wrapText="1"/>
      <protection/>
    </xf>
    <xf numFmtId="0" fontId="36" fillId="37" borderId="17" xfId="95" applyFont="1" applyFill="1" applyBorder="1" applyAlignment="1">
      <alignment horizontal="center" vertical="top" wrapText="1"/>
      <protection/>
    </xf>
    <xf numFmtId="0" fontId="34" fillId="0" borderId="54" xfId="95" applyFont="1" applyBorder="1" applyAlignment="1">
      <alignment horizontal="center" vertical="center" wrapText="1"/>
      <protection/>
    </xf>
    <xf numFmtId="0" fontId="34" fillId="0" borderId="40" xfId="95" applyFont="1" applyBorder="1" applyAlignment="1">
      <alignment horizontal="center" vertical="center" wrapText="1"/>
      <protection/>
    </xf>
    <xf numFmtId="0" fontId="34" fillId="0" borderId="12" xfId="95" applyFont="1" applyBorder="1" applyAlignment="1">
      <alignment horizontal="center" vertical="center" wrapText="1"/>
      <protection/>
    </xf>
    <xf numFmtId="0" fontId="20" fillId="0" borderId="216" xfId="95" applyFont="1" applyBorder="1" applyAlignment="1">
      <alignment horizontal="left" vertical="center" wrapText="1"/>
      <protection/>
    </xf>
    <xf numFmtId="0" fontId="14" fillId="0" borderId="217" xfId="95" applyFont="1" applyBorder="1" applyAlignment="1">
      <alignment horizontal="left" vertical="center" wrapText="1"/>
      <protection/>
    </xf>
    <xf numFmtId="0" fontId="36" fillId="43" borderId="126" xfId="95" applyFont="1" applyFill="1" applyBorder="1" applyAlignment="1">
      <alignment horizontal="center" vertical="top" wrapText="1"/>
      <protection/>
    </xf>
    <xf numFmtId="0" fontId="36" fillId="43" borderId="66" xfId="95" applyFont="1" applyFill="1" applyBorder="1" applyAlignment="1">
      <alignment horizontal="center" vertical="top" wrapText="1"/>
      <protection/>
    </xf>
    <xf numFmtId="0" fontId="20" fillId="0" borderId="109" xfId="95" applyFont="1" applyBorder="1" applyAlignment="1">
      <alignment horizontal="left" vertical="center" wrapText="1"/>
      <protection/>
    </xf>
    <xf numFmtId="0" fontId="31" fillId="0" borderId="0" xfId="95" applyFont="1" applyBorder="1" applyAlignment="1">
      <alignment horizontal="center" vertical="center"/>
      <protection/>
    </xf>
    <xf numFmtId="0" fontId="21" fillId="0" borderId="55" xfId="95" applyFont="1" applyBorder="1" applyAlignment="1">
      <alignment horizontal="left" vertical="center" wrapText="1"/>
      <protection/>
    </xf>
    <xf numFmtId="0" fontId="34" fillId="0" borderId="54" xfId="95" applyFont="1" applyBorder="1" applyAlignment="1">
      <alignment horizontal="right" vertical="center" wrapText="1"/>
      <protection/>
    </xf>
    <xf numFmtId="0" fontId="34" fillId="0" borderId="18" xfId="95" applyFont="1" applyBorder="1" applyAlignment="1">
      <alignment horizontal="right" vertical="center" wrapText="1"/>
      <protection/>
    </xf>
    <xf numFmtId="0" fontId="34" fillId="0" borderId="63" xfId="95" applyFont="1" applyBorder="1" applyAlignment="1">
      <alignment horizontal="right" vertical="center" wrapText="1"/>
      <protection/>
    </xf>
    <xf numFmtId="0" fontId="14" fillId="0" borderId="0" xfId="95" applyFont="1" applyBorder="1" applyAlignment="1">
      <alignment horizontal="left" vertical="center" wrapText="1"/>
      <protection/>
    </xf>
    <xf numFmtId="0" fontId="20" fillId="0" borderId="218" xfId="95" applyFont="1" applyBorder="1" applyAlignment="1">
      <alignment horizontal="right" vertical="center" wrapText="1"/>
      <protection/>
    </xf>
    <xf numFmtId="0" fontId="20" fillId="0" borderId="219" xfId="95" applyFont="1" applyBorder="1" applyAlignment="1">
      <alignment horizontal="right" vertical="center" wrapText="1"/>
      <protection/>
    </xf>
    <xf numFmtId="0" fontId="20" fillId="0" borderId="220" xfId="95" applyFont="1" applyBorder="1" applyAlignment="1">
      <alignment horizontal="right" vertical="center" wrapText="1"/>
      <protection/>
    </xf>
    <xf numFmtId="0" fontId="36" fillId="37" borderId="25" xfId="95" applyFont="1" applyFill="1" applyBorder="1" applyAlignment="1">
      <alignment horizontal="center" vertical="center" wrapText="1"/>
      <protection/>
    </xf>
    <xf numFmtId="0" fontId="31" fillId="0" borderId="221" xfId="95" applyFont="1" applyBorder="1" applyAlignment="1">
      <alignment horizontal="center" vertical="center" wrapText="1"/>
      <protection/>
    </xf>
    <xf numFmtId="0" fontId="31" fillId="0" borderId="222" xfId="95" applyFont="1" applyBorder="1" applyAlignment="1">
      <alignment horizontal="center" vertical="center" wrapText="1"/>
      <protection/>
    </xf>
    <xf numFmtId="0" fontId="14" fillId="0" borderId="40" xfId="95" applyFont="1" applyBorder="1" applyAlignment="1">
      <alignment horizontal="left" vertical="center" wrapText="1"/>
      <protection/>
    </xf>
    <xf numFmtId="0" fontId="14" fillId="0" borderId="60" xfId="95" applyFont="1" applyBorder="1" applyAlignment="1">
      <alignment horizontal="left" vertical="center" wrapText="1"/>
      <protection/>
    </xf>
    <xf numFmtId="0" fontId="29" fillId="0" borderId="14" xfId="95" applyFont="1" applyBorder="1" applyAlignment="1">
      <alignment horizontal="center" vertical="top" wrapText="1"/>
      <protection/>
    </xf>
    <xf numFmtId="0" fontId="29" fillId="0" borderId="17" xfId="95" applyFont="1" applyBorder="1" applyAlignment="1">
      <alignment horizontal="center" vertical="top" wrapText="1"/>
      <protection/>
    </xf>
    <xf numFmtId="0" fontId="36" fillId="0" borderId="0" xfId="98" applyFont="1" applyAlignment="1">
      <alignment horizontal="right" wrapText="1"/>
      <protection/>
    </xf>
    <xf numFmtId="0" fontId="29" fillId="37" borderId="42" xfId="95" applyFont="1" applyFill="1" applyBorder="1" applyAlignment="1">
      <alignment horizontal="center" vertical="top" wrapText="1"/>
      <protection/>
    </xf>
    <xf numFmtId="0" fontId="29" fillId="37" borderId="41" xfId="95" applyFont="1" applyFill="1" applyBorder="1" applyAlignment="1">
      <alignment horizontal="center" vertical="top" wrapText="1"/>
      <protection/>
    </xf>
    <xf numFmtId="0" fontId="29" fillId="37" borderId="30" xfId="95" applyFont="1" applyFill="1" applyBorder="1" applyAlignment="1">
      <alignment horizontal="center" vertical="top" wrapText="1"/>
      <protection/>
    </xf>
    <xf numFmtId="0" fontId="14" fillId="0" borderId="14" xfId="95" applyFont="1" applyBorder="1" applyAlignment="1">
      <alignment horizontal="center" vertical="center" wrapText="1"/>
      <protection/>
    </xf>
    <xf numFmtId="0" fontId="14" fillId="0" borderId="15" xfId="95" applyFont="1" applyBorder="1" applyAlignment="1">
      <alignment horizontal="center" vertical="center" wrapText="1"/>
      <protection/>
    </xf>
    <xf numFmtId="0" fontId="29" fillId="0" borderId="58" xfId="95" applyFont="1" applyFill="1" applyBorder="1" applyAlignment="1">
      <alignment horizontal="left" vertical="top" wrapText="1"/>
      <protection/>
    </xf>
    <xf numFmtId="0" fontId="29" fillId="0" borderId="30" xfId="95" applyFont="1" applyFill="1" applyBorder="1" applyAlignment="1">
      <alignment horizontal="left" vertical="top" wrapText="1"/>
      <protection/>
    </xf>
    <xf numFmtId="0" fontId="36" fillId="43" borderId="25" xfId="95" applyFont="1" applyFill="1" applyBorder="1" applyAlignment="1">
      <alignment horizontal="center" vertical="top" wrapText="1"/>
      <protection/>
    </xf>
    <xf numFmtId="0" fontId="14" fillId="0" borderId="55" xfId="95" applyFont="1" applyFill="1" applyBorder="1" applyAlignment="1">
      <alignment horizontal="left" vertical="center" wrapText="1"/>
      <protection/>
    </xf>
    <xf numFmtId="0" fontId="3" fillId="0" borderId="0" xfId="96" applyFont="1" applyBorder="1" applyAlignment="1">
      <alignment/>
      <protection/>
    </xf>
    <xf numFmtId="0" fontId="31" fillId="0" borderId="0" xfId="96" applyFont="1" applyBorder="1" applyAlignment="1">
      <alignment horizontal="center" vertical="center"/>
      <protection/>
    </xf>
    <xf numFmtId="0" fontId="36" fillId="0" borderId="28" xfId="96" applyFont="1" applyBorder="1" applyAlignment="1">
      <alignment vertical="center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36" fillId="0" borderId="44" xfId="96" applyFont="1" applyBorder="1" applyAlignment="1">
      <alignment horizontal="center" vertical="center" wrapText="1"/>
      <protection/>
    </xf>
    <xf numFmtId="0" fontId="36" fillId="0" borderId="28" xfId="96" applyFont="1" applyBorder="1" applyAlignment="1">
      <alignment horizontal="center" vertical="center"/>
      <protection/>
    </xf>
    <xf numFmtId="0" fontId="43" fillId="51" borderId="68" xfId="96" applyFont="1" applyFill="1" applyBorder="1" applyAlignment="1">
      <alignment horizontal="center" vertical="center"/>
      <protection/>
    </xf>
    <xf numFmtId="0" fontId="43" fillId="51" borderId="69" xfId="96" applyFont="1" applyFill="1" applyBorder="1" applyAlignment="1">
      <alignment horizontal="center" vertical="center"/>
      <protection/>
    </xf>
    <xf numFmtId="0" fontId="43" fillId="51" borderId="54" xfId="96" applyFont="1" applyFill="1" applyBorder="1" applyAlignment="1">
      <alignment horizontal="center"/>
      <protection/>
    </xf>
    <xf numFmtId="0" fontId="43" fillId="51" borderId="12" xfId="96" applyFont="1" applyFill="1" applyBorder="1" applyAlignment="1">
      <alignment horizontal="center"/>
      <protection/>
    </xf>
    <xf numFmtId="0" fontId="23" fillId="0" borderId="0" xfId="92" applyFont="1" applyBorder="1" applyAlignment="1">
      <alignment horizontal="left" vertical="center" wrapText="1"/>
      <protection/>
    </xf>
    <xf numFmtId="0" fontId="31" fillId="0" borderId="0" xfId="92" applyFont="1" applyBorder="1" applyAlignment="1">
      <alignment horizontal="left" vertical="center"/>
      <protection/>
    </xf>
    <xf numFmtId="0" fontId="13" fillId="37" borderId="15" xfId="92" applyFont="1" applyFill="1" applyBorder="1" applyAlignment="1">
      <alignment horizontal="center" vertical="top"/>
      <protection/>
    </xf>
    <xf numFmtId="0" fontId="13" fillId="37" borderId="17" xfId="92" applyFont="1" applyFill="1" applyBorder="1" applyAlignment="1">
      <alignment horizontal="center" vertical="top"/>
      <protection/>
    </xf>
    <xf numFmtId="0" fontId="23" fillId="0" borderId="0" xfId="92" applyFont="1" applyBorder="1" applyAlignment="1">
      <alignment horizontal="center" vertical="center" wrapText="1"/>
      <protection/>
    </xf>
    <xf numFmtId="0" fontId="27" fillId="0" borderId="0" xfId="92" applyFont="1" applyBorder="1" applyAlignment="1">
      <alignment horizontal="left"/>
      <protection/>
    </xf>
    <xf numFmtId="168" fontId="29" fillId="0" borderId="32" xfId="45" applyFont="1" applyFill="1" applyBorder="1" applyAlignment="1" applyProtection="1">
      <alignment horizontal="center" vertical="top"/>
      <protection/>
    </xf>
    <xf numFmtId="168" fontId="29" fillId="0" borderId="36" xfId="45" applyFont="1" applyFill="1" applyBorder="1" applyAlignment="1" applyProtection="1">
      <alignment horizontal="center" vertical="top"/>
      <protection/>
    </xf>
    <xf numFmtId="0" fontId="36" fillId="0" borderId="0" xfId="93" applyFont="1" applyAlignment="1">
      <alignment horizontal="right"/>
      <protection/>
    </xf>
    <xf numFmtId="168" fontId="43" fillId="0" borderId="0" xfId="45" applyFont="1" applyFill="1" applyBorder="1" applyAlignment="1" applyProtection="1">
      <alignment horizontal="center" vertical="center"/>
      <protection/>
    </xf>
    <xf numFmtId="49" fontId="20" fillId="44" borderId="15" xfId="89" applyNumberFormat="1" applyFont="1" applyFill="1" applyBorder="1" applyAlignment="1" applyProtection="1">
      <alignment horizontal="center" vertical="top" wrapText="1"/>
      <protection locked="0"/>
    </xf>
    <xf numFmtId="49" fontId="20" fillId="44" borderId="17" xfId="8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4" applyFont="1" applyAlignment="1">
      <alignment horizontal="right"/>
      <protection/>
    </xf>
    <xf numFmtId="0" fontId="156" fillId="0" borderId="0" xfId="0" applyFont="1" applyAlignment="1">
      <alignment horizontal="center" vertical="top" wrapText="1"/>
    </xf>
    <xf numFmtId="0" fontId="31" fillId="0" borderId="84" xfId="92" applyFont="1" applyBorder="1" applyAlignment="1">
      <alignment horizontal="center" vertical="center"/>
      <protection/>
    </xf>
    <xf numFmtId="4" fontId="31" fillId="0" borderId="109" xfId="92" applyNumberFormat="1" applyFont="1" applyBorder="1" applyAlignment="1">
      <alignment horizontal="center" vertical="center"/>
      <protection/>
    </xf>
    <xf numFmtId="0" fontId="31" fillId="0" borderId="109" xfId="92" applyFont="1" applyBorder="1" applyAlignment="1">
      <alignment horizontal="center" vertical="center"/>
      <protection/>
    </xf>
    <xf numFmtId="0" fontId="34" fillId="0" borderId="14" xfId="92" applyFont="1" applyBorder="1" applyAlignment="1">
      <alignment horizontal="left" vertical="top"/>
      <protection/>
    </xf>
    <xf numFmtId="0" fontId="34" fillId="0" borderId="15" xfId="92" applyFont="1" applyBorder="1" applyAlignment="1">
      <alignment horizontal="left" vertical="top"/>
      <protection/>
    </xf>
    <xf numFmtId="0" fontId="34" fillId="0" borderId="17" xfId="92" applyFont="1" applyBorder="1" applyAlignment="1">
      <alignment horizontal="left" vertical="top"/>
      <protection/>
    </xf>
    <xf numFmtId="0" fontId="14" fillId="0" borderId="54" xfId="92" applyFont="1" applyBorder="1" applyAlignment="1">
      <alignment horizontal="center" vertical="center" wrapText="1"/>
      <protection/>
    </xf>
    <xf numFmtId="0" fontId="14" fillId="0" borderId="11" xfId="92" applyFont="1" applyBorder="1" applyAlignment="1">
      <alignment horizontal="center" vertical="center" wrapText="1"/>
      <protection/>
    </xf>
    <xf numFmtId="0" fontId="45" fillId="0" borderId="11" xfId="92" applyFont="1" applyBorder="1" applyAlignment="1">
      <alignment horizontal="center" vertical="center"/>
      <protection/>
    </xf>
    <xf numFmtId="0" fontId="4" fillId="0" borderId="0" xfId="92" applyFont="1" applyAlignment="1">
      <alignment horizontal="right" vertical="top"/>
      <protection/>
    </xf>
    <xf numFmtId="0" fontId="14" fillId="0" borderId="11" xfId="92" applyFont="1" applyBorder="1" applyAlignment="1">
      <alignment horizontal="center" vertical="center"/>
      <protection/>
    </xf>
    <xf numFmtId="0" fontId="36" fillId="0" borderId="11" xfId="92" applyFont="1" applyBorder="1" applyAlignment="1">
      <alignment horizontal="center" vertical="center"/>
      <protection/>
    </xf>
    <xf numFmtId="0" fontId="36" fillId="0" borderId="11" xfId="92" applyFont="1" applyBorder="1" applyAlignment="1">
      <alignment horizontal="center" vertical="center" wrapText="1"/>
      <protection/>
    </xf>
    <xf numFmtId="0" fontId="34" fillId="0" borderId="94" xfId="92" applyFont="1" applyBorder="1" applyAlignment="1">
      <alignment horizontal="center" vertical="center" wrapText="1"/>
      <protection/>
    </xf>
    <xf numFmtId="0" fontId="60" fillId="0" borderId="11" xfId="92" applyFont="1" applyBorder="1" applyAlignment="1">
      <alignment horizontal="center" vertical="center" wrapText="1"/>
      <protection/>
    </xf>
    <xf numFmtId="10" fontId="37" fillId="0" borderId="149" xfId="92" applyNumberFormat="1" applyFont="1" applyBorder="1" applyAlignment="1">
      <alignment horizontal="center" vertical="center"/>
      <protection/>
    </xf>
    <xf numFmtId="0" fontId="14" fillId="0" borderId="0" xfId="92" applyFont="1" applyAlignment="1">
      <alignment horizontal="left" vertical="top" wrapText="1"/>
      <protection/>
    </xf>
    <xf numFmtId="0" fontId="34" fillId="0" borderId="0" xfId="92" applyFont="1" applyAlignment="1">
      <alignment horizontal="left" vertical="center" wrapText="1"/>
      <protection/>
    </xf>
    <xf numFmtId="0" fontId="29" fillId="0" borderId="0" xfId="92" applyFont="1" applyBorder="1" applyAlignment="1">
      <alignment vertical="top" wrapText="1"/>
      <protection/>
    </xf>
    <xf numFmtId="0" fontId="14" fillId="0" borderId="0" xfId="92" applyFont="1" applyAlignment="1">
      <alignment horizontal="left"/>
      <protection/>
    </xf>
    <xf numFmtId="0" fontId="14" fillId="0" borderId="0" xfId="92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4" fillId="0" borderId="223" xfId="92" applyFont="1" applyBorder="1" applyAlignment="1">
      <alignment horizontal="left" vertical="top" wrapText="1"/>
      <protection/>
    </xf>
    <xf numFmtId="0" fontId="34" fillId="0" borderId="0" xfId="92" applyFont="1" applyAlignment="1">
      <alignment horizontal="left" vertical="center"/>
      <protection/>
    </xf>
    <xf numFmtId="4" fontId="37" fillId="0" borderId="149" xfId="92" applyNumberFormat="1" applyFont="1" applyBorder="1" applyAlignment="1">
      <alignment horizontal="right" vertical="center" wrapText="1"/>
      <protection/>
    </xf>
    <xf numFmtId="0" fontId="14" fillId="0" borderId="15" xfId="92" applyFont="1" applyBorder="1" applyAlignment="1">
      <alignment horizontal="center" vertical="top"/>
      <protection/>
    </xf>
    <xf numFmtId="0" fontId="14" fillId="0" borderId="17" xfId="92" applyFont="1" applyBorder="1" applyAlignment="1">
      <alignment horizontal="center" vertical="top"/>
      <protection/>
    </xf>
    <xf numFmtId="0" fontId="14" fillId="0" borderId="0" xfId="92" applyFont="1" applyBorder="1" applyAlignment="1">
      <alignment horizontal="left"/>
      <protection/>
    </xf>
  </cellXfs>
  <cellStyles count="9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y" xfId="42"/>
    <cellStyle name="Comma" xfId="43"/>
    <cellStyle name="Comma [0]" xfId="44"/>
    <cellStyle name="Dziesiętny_załączniki  nr 1,2,3,4,5,6,7,8,9,10,11  2008" xfId="45"/>
    <cellStyle name="Excel Built-in Normal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1" xfId="55"/>
    <cellStyle name="Normalny 12" xfId="56"/>
    <cellStyle name="Normalny 13" xfId="57"/>
    <cellStyle name="Normalny 14" xfId="58"/>
    <cellStyle name="Normalny 15" xfId="59"/>
    <cellStyle name="Normalny 16" xfId="60"/>
    <cellStyle name="Normalny 17" xfId="61"/>
    <cellStyle name="Normalny 18" xfId="62"/>
    <cellStyle name="Normalny 19" xfId="63"/>
    <cellStyle name="Normalny 2" xfId="64"/>
    <cellStyle name="Normalny 2 2" xfId="65"/>
    <cellStyle name="Normalny 2 3" xfId="66"/>
    <cellStyle name="Normalny 20" xfId="67"/>
    <cellStyle name="Normalny 20 2" xfId="68"/>
    <cellStyle name="Normalny 21" xfId="69"/>
    <cellStyle name="Normalny 22" xfId="70"/>
    <cellStyle name="Normalny 23" xfId="71"/>
    <cellStyle name="Normalny 24" xfId="72"/>
    <cellStyle name="Normalny 25" xfId="73"/>
    <cellStyle name="Normalny 26" xfId="74"/>
    <cellStyle name="Normalny 27" xfId="75"/>
    <cellStyle name="Normalny 28" xfId="76"/>
    <cellStyle name="Normalny 29" xfId="77"/>
    <cellStyle name="Normalny 3" xfId="78"/>
    <cellStyle name="Normalny 3 2" xfId="79"/>
    <cellStyle name="Normalny 30" xfId="80"/>
    <cellStyle name="Normalny 4" xfId="81"/>
    <cellStyle name="Normalny 4 2" xfId="82"/>
    <cellStyle name="Normalny 5" xfId="83"/>
    <cellStyle name="Normalny 5 2" xfId="84"/>
    <cellStyle name="Normalny 5 3" xfId="85"/>
    <cellStyle name="Normalny 5 3 2" xfId="86"/>
    <cellStyle name="Normalny 6" xfId="87"/>
    <cellStyle name="Normalny 7" xfId="88"/>
    <cellStyle name="Normalny 7 2" xfId="89"/>
    <cellStyle name="Normalny 8" xfId="90"/>
    <cellStyle name="Normalny 9" xfId="91"/>
    <cellStyle name="Normalny_DOCHODY  WYDATKI 2011" xfId="92"/>
    <cellStyle name="Normalny_Kwiecień" xfId="93"/>
    <cellStyle name="Normalny_Załacznik 2010" xfId="94"/>
    <cellStyle name="Normalny_załaczniki maj" xfId="95"/>
    <cellStyle name="Normalny_załączniki  nr 1,2,3,4,5,6,7,8,9,10,11  2008" xfId="96"/>
    <cellStyle name="Normalny_Załączniki budżet 2010" xfId="97"/>
    <cellStyle name="Normalny_Zeszyt1" xfId="98"/>
    <cellStyle name="Obliczenia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_Załączniki budżet 2010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showGridLines="0" tabSelected="1" zoomScalePageLayoutView="0" workbookViewId="0" topLeftCell="A1">
      <selection activeCell="G287" sqref="G287"/>
    </sheetView>
  </sheetViews>
  <sheetFormatPr defaultColWidth="9.140625" defaultRowHeight="15"/>
  <cols>
    <col min="1" max="1" width="4.7109375" style="931" customWidth="1"/>
    <col min="2" max="2" width="7.140625" style="931" customWidth="1"/>
    <col min="3" max="3" width="7.421875" style="931" customWidth="1"/>
    <col min="4" max="4" width="29.7109375" style="931" customWidth="1"/>
    <col min="5" max="5" width="13.421875" style="931" customWidth="1"/>
    <col min="6" max="6" width="12.7109375" style="931" customWidth="1"/>
    <col min="7" max="7" width="13.421875" style="931" customWidth="1"/>
    <col min="8" max="8" width="12.57421875" style="931" customWidth="1"/>
    <col min="9" max="9" width="10.57421875" style="931" bestFit="1" customWidth="1"/>
    <col min="10" max="10" width="11.8515625" style="931" customWidth="1"/>
    <col min="11" max="11" width="11.140625" style="931" customWidth="1"/>
    <col min="12" max="173" width="9.140625" style="931" customWidth="1"/>
    <col min="174" max="174" width="2.140625" style="931" customWidth="1"/>
    <col min="175" max="175" width="8.7109375" style="931" customWidth="1"/>
    <col min="176" max="176" width="9.8515625" style="931" customWidth="1"/>
    <col min="177" max="177" width="0.9921875" style="931" customWidth="1"/>
    <col min="178" max="178" width="10.8515625" style="931" customWidth="1"/>
    <col min="179" max="179" width="54.57421875" style="931" customWidth="1"/>
    <col min="180" max="180" width="7.57421875" style="931" customWidth="1"/>
    <col min="181" max="181" width="14.140625" style="931" customWidth="1"/>
    <col min="182" max="182" width="0.9921875" style="931" customWidth="1"/>
    <col min="183" max="16384" width="9.140625" style="931" customWidth="1"/>
  </cols>
  <sheetData>
    <row r="1" ht="18" customHeight="1">
      <c r="H1" s="943" t="s">
        <v>793</v>
      </c>
    </row>
    <row r="2" ht="18" customHeight="1"/>
    <row r="3" spans="1:10" ht="15" customHeight="1">
      <c r="A3" s="1684" t="s">
        <v>725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4.25" customHeight="1">
      <c r="A4" s="1684" t="s">
        <v>841</v>
      </c>
      <c r="B4" s="1685"/>
      <c r="C4" s="1685"/>
      <c r="D4" s="1685"/>
      <c r="E4" s="1685"/>
      <c r="F4" s="1685"/>
      <c r="G4" s="1685"/>
      <c r="H4" s="1685"/>
      <c r="I4" s="1685"/>
      <c r="J4" s="1685"/>
    </row>
    <row r="5" spans="1:10" ht="14.25" customHeight="1">
      <c r="A5" s="944"/>
      <c r="B5" s="944"/>
      <c r="C5" s="944"/>
      <c r="D5" s="944"/>
      <c r="E5" s="944"/>
      <c r="F5" s="944"/>
      <c r="G5" s="944"/>
      <c r="H5" s="971"/>
      <c r="I5" s="971"/>
      <c r="J5" s="971"/>
    </row>
    <row r="6" spans="1:12" ht="16.5" customHeight="1">
      <c r="A6" s="1674" t="s">
        <v>0</v>
      </c>
      <c r="B6" s="1674" t="s">
        <v>1</v>
      </c>
      <c r="C6" s="1674" t="s">
        <v>112</v>
      </c>
      <c r="D6" s="1672" t="s">
        <v>229</v>
      </c>
      <c r="E6" s="1686" t="s">
        <v>842</v>
      </c>
      <c r="F6" s="1686" t="s">
        <v>720</v>
      </c>
      <c r="G6" s="1687" t="s">
        <v>843</v>
      </c>
      <c r="H6" s="1676" t="s">
        <v>844</v>
      </c>
      <c r="I6" s="1678" t="s">
        <v>85</v>
      </c>
      <c r="J6" s="1680" t="s">
        <v>95</v>
      </c>
      <c r="K6" s="1681"/>
      <c r="L6" s="1682"/>
    </row>
    <row r="7" spans="1:12" ht="35.25" customHeight="1">
      <c r="A7" s="1675"/>
      <c r="B7" s="1675"/>
      <c r="C7" s="1675"/>
      <c r="D7" s="1673"/>
      <c r="E7" s="1686"/>
      <c r="F7" s="1686"/>
      <c r="G7" s="1687"/>
      <c r="H7" s="1677"/>
      <c r="I7" s="1679"/>
      <c r="J7" s="1247" t="s">
        <v>726</v>
      </c>
      <c r="K7" s="979" t="s">
        <v>727</v>
      </c>
      <c r="L7" s="978" t="s">
        <v>728</v>
      </c>
    </row>
    <row r="8" spans="1:12" ht="23.25" customHeight="1">
      <c r="A8" s="965" t="s">
        <v>7</v>
      </c>
      <c r="B8" s="965"/>
      <c r="C8" s="965"/>
      <c r="D8" s="1258" t="s">
        <v>8</v>
      </c>
      <c r="E8" s="1263">
        <f>E9+E12</f>
        <v>50000</v>
      </c>
      <c r="F8" s="1259">
        <f aca="true" t="shared" si="0" ref="F8:L8">F9+F12</f>
        <v>1048416.81</v>
      </c>
      <c r="G8" s="1260">
        <f t="shared" si="0"/>
        <v>1098416.81</v>
      </c>
      <c r="H8" s="1261">
        <f t="shared" si="0"/>
        <v>1099189.59</v>
      </c>
      <c r="I8" s="1262">
        <f>H8/G8</f>
        <v>1.0007035398520532</v>
      </c>
      <c r="J8" s="1259">
        <f t="shared" si="0"/>
        <v>10938.11</v>
      </c>
      <c r="K8" s="1259">
        <f t="shared" si="0"/>
        <v>10938.11</v>
      </c>
      <c r="L8" s="1259">
        <f t="shared" si="0"/>
        <v>271.66</v>
      </c>
    </row>
    <row r="9" spans="1:12" ht="15">
      <c r="A9" s="932"/>
      <c r="B9" s="938" t="s">
        <v>364</v>
      </c>
      <c r="C9" s="933"/>
      <c r="D9" s="934" t="s">
        <v>365</v>
      </c>
      <c r="E9" s="974">
        <f>E10+E11</f>
        <v>0</v>
      </c>
      <c r="F9" s="974">
        <f aca="true" t="shared" si="1" ref="F9:L9">F10+F11</f>
        <v>56250</v>
      </c>
      <c r="G9" s="975">
        <f t="shared" si="1"/>
        <v>56250</v>
      </c>
      <c r="H9" s="1255">
        <f t="shared" si="1"/>
        <v>56250</v>
      </c>
      <c r="I9" s="1254">
        <f>H9/G9</f>
        <v>1</v>
      </c>
      <c r="J9" s="977">
        <f t="shared" si="1"/>
        <v>0</v>
      </c>
      <c r="K9" s="977">
        <f t="shared" si="1"/>
        <v>0</v>
      </c>
      <c r="L9" s="977">
        <f t="shared" si="1"/>
        <v>0</v>
      </c>
    </row>
    <row r="10" spans="1:12" ht="56.25">
      <c r="A10" s="935"/>
      <c r="B10" s="935"/>
      <c r="C10" s="936" t="s">
        <v>367</v>
      </c>
      <c r="D10" s="937" t="s">
        <v>368</v>
      </c>
      <c r="E10" s="973">
        <v>0</v>
      </c>
      <c r="F10" s="973">
        <f>G10-E10</f>
        <v>0</v>
      </c>
      <c r="G10" s="976">
        <v>0</v>
      </c>
      <c r="H10" s="1357">
        <v>0</v>
      </c>
      <c r="I10" s="1360">
        <v>0</v>
      </c>
      <c r="J10" s="941">
        <v>0</v>
      </c>
      <c r="K10" s="941">
        <v>0</v>
      </c>
      <c r="L10" s="941">
        <v>0</v>
      </c>
    </row>
    <row r="11" spans="1:12" ht="67.5">
      <c r="A11" s="935"/>
      <c r="B11" s="935"/>
      <c r="C11" s="936" t="s">
        <v>120</v>
      </c>
      <c r="D11" s="937" t="s">
        <v>369</v>
      </c>
      <c r="E11" s="973">
        <v>0</v>
      </c>
      <c r="F11" s="973">
        <f>G11-E11</f>
        <v>56250</v>
      </c>
      <c r="G11" s="976">
        <v>56250</v>
      </c>
      <c r="H11" s="1357">
        <v>56250</v>
      </c>
      <c r="I11" s="1360">
        <f>H11/G11</f>
        <v>1</v>
      </c>
      <c r="J11" s="941">
        <v>0</v>
      </c>
      <c r="K11" s="941">
        <v>0</v>
      </c>
      <c r="L11" s="941">
        <v>0</v>
      </c>
    </row>
    <row r="12" spans="1:12" ht="15">
      <c r="A12" s="932"/>
      <c r="B12" s="938" t="s">
        <v>9</v>
      </c>
      <c r="C12" s="933"/>
      <c r="D12" s="934" t="s">
        <v>10</v>
      </c>
      <c r="E12" s="972">
        <f>E13+E14+E15</f>
        <v>50000</v>
      </c>
      <c r="F12" s="972">
        <f aca="true" t="shared" si="2" ref="F12:L12">F13+F14+F15</f>
        <v>992166.81</v>
      </c>
      <c r="G12" s="1253">
        <f t="shared" si="2"/>
        <v>1042166.81</v>
      </c>
      <c r="H12" s="1352">
        <f t="shared" si="2"/>
        <v>1042939.5900000001</v>
      </c>
      <c r="I12" s="1361">
        <f aca="true" t="shared" si="3" ref="I12:I86">H12/G12</f>
        <v>1.0007415127718373</v>
      </c>
      <c r="J12" s="1353">
        <f t="shared" si="2"/>
        <v>10938.11</v>
      </c>
      <c r="K12" s="1353">
        <f t="shared" si="2"/>
        <v>10938.11</v>
      </c>
      <c r="L12" s="1353">
        <f t="shared" si="2"/>
        <v>271.66</v>
      </c>
    </row>
    <row r="13" spans="1:12" ht="78.75">
      <c r="A13" s="935"/>
      <c r="B13" s="935"/>
      <c r="C13" s="936" t="s">
        <v>371</v>
      </c>
      <c r="D13" s="937" t="s">
        <v>372</v>
      </c>
      <c r="E13" s="973">
        <v>50000</v>
      </c>
      <c r="F13" s="973">
        <f>G13-E13</f>
        <v>8600</v>
      </c>
      <c r="G13" s="976">
        <v>58600</v>
      </c>
      <c r="H13" s="1357">
        <v>58982.38</v>
      </c>
      <c r="I13" s="1360">
        <f t="shared" si="3"/>
        <v>1.0065252559726963</v>
      </c>
      <c r="J13" s="941">
        <v>7404.91</v>
      </c>
      <c r="K13" s="941">
        <v>7404.91</v>
      </c>
      <c r="L13" s="941">
        <v>271.66</v>
      </c>
    </row>
    <row r="14" spans="1:12" ht="12.75">
      <c r="A14" s="935"/>
      <c r="B14" s="935"/>
      <c r="C14" s="980" t="s">
        <v>58</v>
      </c>
      <c r="D14" s="981" t="s">
        <v>729</v>
      </c>
      <c r="E14" s="973">
        <v>0</v>
      </c>
      <c r="F14" s="973">
        <f>G14-E14</f>
        <v>0</v>
      </c>
      <c r="G14" s="976">
        <v>0</v>
      </c>
      <c r="H14" s="1357">
        <v>390.4</v>
      </c>
      <c r="I14" s="1360">
        <v>0</v>
      </c>
      <c r="J14" s="941">
        <v>3533.2</v>
      </c>
      <c r="K14" s="941">
        <v>3533.2</v>
      </c>
      <c r="L14" s="941">
        <v>0</v>
      </c>
    </row>
    <row r="15" spans="1:12" ht="67.5">
      <c r="A15" s="935"/>
      <c r="B15" s="935"/>
      <c r="C15" s="936" t="s">
        <v>373</v>
      </c>
      <c r="D15" s="937" t="s">
        <v>374</v>
      </c>
      <c r="E15" s="973">
        <v>0</v>
      </c>
      <c r="F15" s="973">
        <f>G15-E15</f>
        <v>983566.81</v>
      </c>
      <c r="G15" s="976">
        <v>983566.81</v>
      </c>
      <c r="H15" s="1357">
        <v>983566.81</v>
      </c>
      <c r="I15" s="1360">
        <f t="shared" si="3"/>
        <v>1</v>
      </c>
      <c r="J15" s="941">
        <v>0</v>
      </c>
      <c r="K15" s="941">
        <v>0</v>
      </c>
      <c r="L15" s="941">
        <v>0</v>
      </c>
    </row>
    <row r="16" spans="1:12" ht="27.75" customHeight="1">
      <c r="A16" s="965" t="s">
        <v>730</v>
      </c>
      <c r="B16" s="965"/>
      <c r="C16" s="965"/>
      <c r="D16" s="1258" t="s">
        <v>731</v>
      </c>
      <c r="E16" s="1259">
        <f>E17</f>
        <v>0</v>
      </c>
      <c r="F16" s="1259">
        <f aca="true" t="shared" si="4" ref="F16:L16">F17</f>
        <v>0</v>
      </c>
      <c r="G16" s="1260">
        <f t="shared" si="4"/>
        <v>0</v>
      </c>
      <c r="H16" s="1354">
        <f t="shared" si="4"/>
        <v>1188</v>
      </c>
      <c r="I16" s="1459">
        <v>0</v>
      </c>
      <c r="J16" s="1355">
        <f t="shared" si="4"/>
        <v>0</v>
      </c>
      <c r="K16" s="1355">
        <f t="shared" si="4"/>
        <v>0</v>
      </c>
      <c r="L16" s="1355">
        <f t="shared" si="4"/>
        <v>0</v>
      </c>
    </row>
    <row r="17" spans="1:12" ht="15">
      <c r="A17" s="932"/>
      <c r="B17" s="982" t="s">
        <v>732</v>
      </c>
      <c r="C17" s="933"/>
      <c r="D17" s="983" t="s">
        <v>733</v>
      </c>
      <c r="E17" s="974">
        <f>E18</f>
        <v>0</v>
      </c>
      <c r="F17" s="974">
        <f aca="true" t="shared" si="5" ref="F17:L17">F18</f>
        <v>0</v>
      </c>
      <c r="G17" s="975">
        <f t="shared" si="5"/>
        <v>0</v>
      </c>
      <c r="H17" s="1352">
        <f t="shared" si="5"/>
        <v>1188</v>
      </c>
      <c r="I17" s="1352">
        <v>0</v>
      </c>
      <c r="J17" s="1353">
        <f t="shared" si="5"/>
        <v>0</v>
      </c>
      <c r="K17" s="1353">
        <f t="shared" si="5"/>
        <v>0</v>
      </c>
      <c r="L17" s="1353">
        <f t="shared" si="5"/>
        <v>0</v>
      </c>
    </row>
    <row r="18" spans="1:12" ht="22.5">
      <c r="A18" s="935"/>
      <c r="B18" s="935"/>
      <c r="C18" s="980" t="s">
        <v>734</v>
      </c>
      <c r="D18" s="981" t="s">
        <v>738</v>
      </c>
      <c r="E18" s="973">
        <v>0</v>
      </c>
      <c r="F18" s="973">
        <f>G18-E18</f>
        <v>0</v>
      </c>
      <c r="G18" s="976">
        <v>0</v>
      </c>
      <c r="H18" s="1357">
        <v>1188</v>
      </c>
      <c r="I18" s="1360">
        <v>0</v>
      </c>
      <c r="J18" s="941">
        <v>0</v>
      </c>
      <c r="K18" s="941">
        <v>0</v>
      </c>
      <c r="L18" s="941">
        <v>0</v>
      </c>
    </row>
    <row r="19" spans="1:12" ht="23.25" customHeight="1">
      <c r="A19" s="965" t="s">
        <v>375</v>
      </c>
      <c r="B19" s="965"/>
      <c r="C19" s="965"/>
      <c r="D19" s="1258" t="s">
        <v>376</v>
      </c>
      <c r="E19" s="1259">
        <f>E20</f>
        <v>25000</v>
      </c>
      <c r="F19" s="1259">
        <f aca="true" t="shared" si="6" ref="F19:L19">F20</f>
        <v>0</v>
      </c>
      <c r="G19" s="1260" t="str">
        <f t="shared" si="6"/>
        <v>25 000,00</v>
      </c>
      <c r="H19" s="1354">
        <f t="shared" si="6"/>
        <v>27010</v>
      </c>
      <c r="I19" s="1459">
        <f t="shared" si="3"/>
        <v>1.0804</v>
      </c>
      <c r="J19" s="1355">
        <f t="shared" si="6"/>
        <v>0</v>
      </c>
      <c r="K19" s="1355">
        <f t="shared" si="6"/>
        <v>0</v>
      </c>
      <c r="L19" s="1355">
        <f t="shared" si="6"/>
        <v>0</v>
      </c>
    </row>
    <row r="20" spans="1:12" ht="15">
      <c r="A20" s="932"/>
      <c r="B20" s="938" t="s">
        <v>378</v>
      </c>
      <c r="C20" s="933"/>
      <c r="D20" s="934" t="s">
        <v>10</v>
      </c>
      <c r="E20" s="972">
        <f>E21</f>
        <v>25000</v>
      </c>
      <c r="F20" s="972">
        <f aca="true" t="shared" si="7" ref="F20:L20">F21</f>
        <v>0</v>
      </c>
      <c r="G20" s="1253" t="str">
        <f t="shared" si="7"/>
        <v>25 000,00</v>
      </c>
      <c r="H20" s="1352">
        <f t="shared" si="7"/>
        <v>27010</v>
      </c>
      <c r="I20" s="1361">
        <f t="shared" si="3"/>
        <v>1.0804</v>
      </c>
      <c r="J20" s="1353">
        <f t="shared" si="7"/>
        <v>0</v>
      </c>
      <c r="K20" s="1353">
        <f t="shared" si="7"/>
        <v>0</v>
      </c>
      <c r="L20" s="1353">
        <f t="shared" si="7"/>
        <v>0</v>
      </c>
    </row>
    <row r="21" spans="1:12" ht="12.75">
      <c r="A21" s="935"/>
      <c r="B21" s="935"/>
      <c r="C21" s="936" t="s">
        <v>91</v>
      </c>
      <c r="D21" s="937" t="s">
        <v>347</v>
      </c>
      <c r="E21" s="973">
        <v>25000</v>
      </c>
      <c r="F21" s="973">
        <f>G21-E21</f>
        <v>0</v>
      </c>
      <c r="G21" s="976" t="s">
        <v>377</v>
      </c>
      <c r="H21" s="1357">
        <v>27010</v>
      </c>
      <c r="I21" s="1360">
        <f t="shared" si="3"/>
        <v>1.0804</v>
      </c>
      <c r="J21" s="941">
        <v>0</v>
      </c>
      <c r="K21" s="941">
        <v>0</v>
      </c>
      <c r="L21" s="941">
        <v>0</v>
      </c>
    </row>
    <row r="22" spans="1:12" ht="23.25" customHeight="1">
      <c r="A22" s="965" t="s">
        <v>118</v>
      </c>
      <c r="B22" s="965"/>
      <c r="C22" s="965"/>
      <c r="D22" s="1258" t="s">
        <v>278</v>
      </c>
      <c r="E22" s="1259">
        <f>E23+E25</f>
        <v>22320</v>
      </c>
      <c r="F22" s="1259">
        <f aca="true" t="shared" si="8" ref="F22:L22">F23+F25</f>
        <v>3053236.75</v>
      </c>
      <c r="G22" s="1260">
        <f t="shared" si="8"/>
        <v>3075556.75</v>
      </c>
      <c r="H22" s="1354">
        <f t="shared" si="8"/>
        <v>3080545.24</v>
      </c>
      <c r="I22" s="1459">
        <f t="shared" si="3"/>
        <v>1.0016219795001344</v>
      </c>
      <c r="J22" s="1355">
        <f t="shared" si="8"/>
        <v>36537.36</v>
      </c>
      <c r="K22" s="1355">
        <f t="shared" si="8"/>
        <v>36537.36</v>
      </c>
      <c r="L22" s="1355">
        <f t="shared" si="8"/>
        <v>0</v>
      </c>
    </row>
    <row r="23" spans="1:12" ht="15">
      <c r="A23" s="932"/>
      <c r="B23" s="938" t="s">
        <v>379</v>
      </c>
      <c r="C23" s="933"/>
      <c r="D23" s="934" t="s">
        <v>316</v>
      </c>
      <c r="E23" s="972">
        <f>E24</f>
        <v>0</v>
      </c>
      <c r="F23" s="972">
        <f aca="true" t="shared" si="9" ref="F23:L23">F24</f>
        <v>10000</v>
      </c>
      <c r="G23" s="1253" t="str">
        <f t="shared" si="9"/>
        <v>10 000,00</v>
      </c>
      <c r="H23" s="1352">
        <f t="shared" si="9"/>
        <v>10000</v>
      </c>
      <c r="I23" s="1361">
        <f t="shared" si="3"/>
        <v>1</v>
      </c>
      <c r="J23" s="1353">
        <f t="shared" si="9"/>
        <v>0</v>
      </c>
      <c r="K23" s="1353">
        <f t="shared" si="9"/>
        <v>0</v>
      </c>
      <c r="L23" s="1353">
        <f t="shared" si="9"/>
        <v>0</v>
      </c>
    </row>
    <row r="24" spans="1:12" ht="56.25">
      <c r="A24" s="935"/>
      <c r="B24" s="935"/>
      <c r="C24" s="936" t="s">
        <v>381</v>
      </c>
      <c r="D24" s="937" t="s">
        <v>317</v>
      </c>
      <c r="E24" s="973">
        <v>0</v>
      </c>
      <c r="F24" s="973">
        <f>G24-E24</f>
        <v>10000</v>
      </c>
      <c r="G24" s="976" t="s">
        <v>380</v>
      </c>
      <c r="H24" s="1357">
        <v>10000</v>
      </c>
      <c r="I24" s="1360">
        <f t="shared" si="3"/>
        <v>1</v>
      </c>
      <c r="J24" s="941">
        <v>0</v>
      </c>
      <c r="K24" s="941">
        <v>0</v>
      </c>
      <c r="L24" s="941">
        <v>0</v>
      </c>
    </row>
    <row r="25" spans="1:12" ht="15">
      <c r="A25" s="932"/>
      <c r="B25" s="938" t="s">
        <v>126</v>
      </c>
      <c r="C25" s="933"/>
      <c r="D25" s="934" t="s">
        <v>323</v>
      </c>
      <c r="E25" s="972">
        <f>E26+E27+E28+E29+E30+E31+E32</f>
        <v>22320</v>
      </c>
      <c r="F25" s="972">
        <f>F26+F27+F28+F29+F30+F31+F32</f>
        <v>3043236.75</v>
      </c>
      <c r="G25" s="972">
        <f>G26+G27+G28+G29+G30+G31+G32</f>
        <v>3065556.75</v>
      </c>
      <c r="H25" s="972">
        <f>H26+H27+H28+H29+H30+H31+H32</f>
        <v>3070545.24</v>
      </c>
      <c r="I25" s="1361">
        <f t="shared" si="3"/>
        <v>1.0016272704786824</v>
      </c>
      <c r="J25" s="1353">
        <f>J26+J27+J28+J29+J30</f>
        <v>36537.36</v>
      </c>
      <c r="K25" s="1353">
        <f>K26+K27+K28+K29+K30</f>
        <v>36537.36</v>
      </c>
      <c r="L25" s="1353">
        <f>M26+L27+L28+L29+L30</f>
        <v>0</v>
      </c>
    </row>
    <row r="26" spans="1:13" ht="45">
      <c r="A26" s="935"/>
      <c r="B26" s="935"/>
      <c r="C26" s="936" t="s">
        <v>382</v>
      </c>
      <c r="D26" s="937" t="s">
        <v>383</v>
      </c>
      <c r="E26" s="973">
        <v>22320</v>
      </c>
      <c r="F26" s="973">
        <f aca="true" t="shared" si="10" ref="F26:F32">G26-E26</f>
        <v>24000</v>
      </c>
      <c r="G26" s="976">
        <v>46320</v>
      </c>
      <c r="H26" s="1357">
        <v>49405.69</v>
      </c>
      <c r="I26" s="1360">
        <f>H26/G26</f>
        <v>1.0666167962003454</v>
      </c>
      <c r="J26" s="941">
        <v>36537.36</v>
      </c>
      <c r="K26" s="941">
        <v>36537.36</v>
      </c>
      <c r="M26" s="941">
        <v>0</v>
      </c>
    </row>
    <row r="27" spans="1:12" ht="33.75">
      <c r="A27" s="935"/>
      <c r="B27" s="935"/>
      <c r="C27" s="980" t="s">
        <v>402</v>
      </c>
      <c r="D27" s="981" t="s">
        <v>403</v>
      </c>
      <c r="E27" s="973">
        <v>0</v>
      </c>
      <c r="F27" s="973">
        <f t="shared" si="10"/>
        <v>0</v>
      </c>
      <c r="G27" s="976">
        <v>0</v>
      </c>
      <c r="H27" s="1357">
        <v>1844</v>
      </c>
      <c r="I27" s="1360">
        <v>0</v>
      </c>
      <c r="J27" s="941">
        <v>0</v>
      </c>
      <c r="K27" s="941">
        <v>0</v>
      </c>
      <c r="L27" s="941">
        <v>0</v>
      </c>
    </row>
    <row r="28" spans="1:12" ht="33.75">
      <c r="A28" s="935"/>
      <c r="B28" s="935"/>
      <c r="C28" s="980" t="s">
        <v>97</v>
      </c>
      <c r="D28" s="981" t="s">
        <v>735</v>
      </c>
      <c r="E28" s="973">
        <v>0</v>
      </c>
      <c r="F28" s="973">
        <f t="shared" si="10"/>
        <v>0</v>
      </c>
      <c r="G28" s="976">
        <v>0</v>
      </c>
      <c r="H28" s="1357">
        <v>34.8</v>
      </c>
      <c r="I28" s="1360">
        <v>0</v>
      </c>
      <c r="J28" s="941">
        <v>0</v>
      </c>
      <c r="K28" s="941">
        <v>0</v>
      </c>
      <c r="L28" s="941">
        <v>0</v>
      </c>
    </row>
    <row r="29" spans="1:12" ht="22.5">
      <c r="A29" s="935"/>
      <c r="B29" s="935"/>
      <c r="C29" s="980" t="s">
        <v>431</v>
      </c>
      <c r="D29" s="981" t="s">
        <v>736</v>
      </c>
      <c r="E29" s="973">
        <v>0</v>
      </c>
      <c r="F29" s="973">
        <f t="shared" si="10"/>
        <v>0</v>
      </c>
      <c r="G29" s="976">
        <v>0</v>
      </c>
      <c r="H29" s="1357">
        <v>24</v>
      </c>
      <c r="I29" s="1360">
        <v>0</v>
      </c>
      <c r="J29" s="941">
        <v>0</v>
      </c>
      <c r="K29" s="941">
        <v>0</v>
      </c>
      <c r="L29" s="941">
        <v>0</v>
      </c>
    </row>
    <row r="30" spans="1:12" ht="56.25">
      <c r="A30" s="935"/>
      <c r="B30" s="935"/>
      <c r="C30" s="936" t="s">
        <v>384</v>
      </c>
      <c r="D30" s="937" t="s">
        <v>385</v>
      </c>
      <c r="E30" s="973">
        <v>0</v>
      </c>
      <c r="F30" s="973">
        <f t="shared" si="10"/>
        <v>163954.08</v>
      </c>
      <c r="G30" s="976">
        <v>163954.08</v>
      </c>
      <c r="H30" s="1357">
        <v>163954.08</v>
      </c>
      <c r="I30" s="1360">
        <f t="shared" si="3"/>
        <v>1</v>
      </c>
      <c r="J30" s="941">
        <v>0</v>
      </c>
      <c r="K30" s="941">
        <v>0</v>
      </c>
      <c r="L30" s="941">
        <v>0</v>
      </c>
    </row>
    <row r="31" spans="1:12" ht="67.5">
      <c r="A31" s="935"/>
      <c r="B31" s="935"/>
      <c r="C31" s="984" t="s">
        <v>483</v>
      </c>
      <c r="D31" s="981" t="s">
        <v>845</v>
      </c>
      <c r="E31" s="973">
        <v>0</v>
      </c>
      <c r="F31" s="973">
        <f t="shared" si="10"/>
        <v>235985.67</v>
      </c>
      <c r="G31" s="976">
        <v>235985.67</v>
      </c>
      <c r="H31" s="941">
        <v>235985.67</v>
      </c>
      <c r="I31" s="1360">
        <f>H31/G31</f>
        <v>1</v>
      </c>
      <c r="J31" s="941">
        <v>0</v>
      </c>
      <c r="K31" s="942">
        <v>0</v>
      </c>
      <c r="L31" s="941">
        <v>0</v>
      </c>
    </row>
    <row r="32" spans="1:12" ht="56.25">
      <c r="A32" s="935"/>
      <c r="B32" s="935"/>
      <c r="C32" s="1516" t="s">
        <v>469</v>
      </c>
      <c r="D32" s="1517" t="s">
        <v>470</v>
      </c>
      <c r="E32" s="1378">
        <v>0</v>
      </c>
      <c r="F32" s="1378">
        <f t="shared" si="10"/>
        <v>2619297</v>
      </c>
      <c r="G32" s="1379">
        <v>2619297</v>
      </c>
      <c r="H32" s="1382">
        <v>2619297</v>
      </c>
      <c r="I32" s="1381">
        <f>H32/G32</f>
        <v>1</v>
      </c>
      <c r="J32" s="1382">
        <v>0</v>
      </c>
      <c r="K32" s="1382">
        <v>0</v>
      </c>
      <c r="L32" s="1382">
        <v>0</v>
      </c>
    </row>
    <row r="33" spans="1:12" ht="12.75">
      <c r="A33" s="1518" t="s">
        <v>143</v>
      </c>
      <c r="B33" s="965"/>
      <c r="C33" s="965"/>
      <c r="D33" s="1514" t="s">
        <v>326</v>
      </c>
      <c r="E33" s="1259">
        <f aca="true" t="shared" si="11" ref="E33:H34">E34</f>
        <v>0</v>
      </c>
      <c r="F33" s="1259">
        <f t="shared" si="11"/>
        <v>0</v>
      </c>
      <c r="G33" s="1259">
        <f t="shared" si="11"/>
        <v>0</v>
      </c>
      <c r="H33" s="1259">
        <f t="shared" si="11"/>
        <v>3600</v>
      </c>
      <c r="I33" s="965"/>
      <c r="J33" s="1259">
        <f aca="true" t="shared" si="12" ref="J33:L34">J34</f>
        <v>6400</v>
      </c>
      <c r="K33" s="1259">
        <f t="shared" si="12"/>
        <v>0</v>
      </c>
      <c r="L33" s="1259">
        <f t="shared" si="12"/>
        <v>0</v>
      </c>
    </row>
    <row r="34" spans="1:12" ht="15">
      <c r="A34" s="935"/>
      <c r="B34" s="992" t="s">
        <v>144</v>
      </c>
      <c r="C34" s="933"/>
      <c r="D34" s="1486" t="s">
        <v>10</v>
      </c>
      <c r="E34" s="1519">
        <f t="shared" si="11"/>
        <v>0</v>
      </c>
      <c r="F34" s="1519">
        <f t="shared" si="11"/>
        <v>0</v>
      </c>
      <c r="G34" s="1519">
        <f t="shared" si="11"/>
        <v>0</v>
      </c>
      <c r="H34" s="1519">
        <f t="shared" si="11"/>
        <v>3600</v>
      </c>
      <c r="I34" s="1519"/>
      <c r="J34" s="1520">
        <f t="shared" si="12"/>
        <v>6400</v>
      </c>
      <c r="K34" s="1520">
        <f t="shared" si="12"/>
        <v>0</v>
      </c>
      <c r="L34" s="1520">
        <f t="shared" si="12"/>
        <v>0</v>
      </c>
    </row>
    <row r="35" spans="1:12" ht="33.75">
      <c r="A35" s="935"/>
      <c r="B35" s="935"/>
      <c r="C35" s="984" t="s">
        <v>402</v>
      </c>
      <c r="D35" s="981" t="s">
        <v>403</v>
      </c>
      <c r="E35" s="973">
        <v>0</v>
      </c>
      <c r="F35" s="976"/>
      <c r="G35" s="1476">
        <v>0</v>
      </c>
      <c r="H35" s="941">
        <v>3600</v>
      </c>
      <c r="I35" s="1360">
        <v>0</v>
      </c>
      <c r="J35" s="941">
        <v>6400</v>
      </c>
      <c r="K35" s="941">
        <v>0</v>
      </c>
      <c r="L35" s="941">
        <v>0</v>
      </c>
    </row>
    <row r="36" spans="1:12" ht="21.75" customHeight="1">
      <c r="A36" s="965" t="s">
        <v>147</v>
      </c>
      <c r="B36" s="965"/>
      <c r="C36" s="965"/>
      <c r="D36" s="1258" t="s">
        <v>69</v>
      </c>
      <c r="E36" s="1259">
        <f>E37</f>
        <v>1403500</v>
      </c>
      <c r="F36" s="1259">
        <f>F37</f>
        <v>107700</v>
      </c>
      <c r="G36" s="1259">
        <f>G37</f>
        <v>1511200</v>
      </c>
      <c r="H36" s="1259">
        <f>H37</f>
        <v>2788973.54</v>
      </c>
      <c r="I36" s="1459">
        <f t="shared" si="3"/>
        <v>1.8455356934886182</v>
      </c>
      <c r="J36" s="1472">
        <f>J37</f>
        <v>91701.6</v>
      </c>
      <c r="K36" s="1472">
        <f>K37</f>
        <v>63064.420000000006</v>
      </c>
      <c r="L36" s="1472">
        <f>L37</f>
        <v>974.16</v>
      </c>
    </row>
    <row r="37" spans="1:12" ht="22.5">
      <c r="A37" s="932"/>
      <c r="B37" s="938" t="s">
        <v>148</v>
      </c>
      <c r="C37" s="933"/>
      <c r="D37" s="934" t="s">
        <v>70</v>
      </c>
      <c r="E37" s="972">
        <f>E38+E39+E40+E41+E42+E43+E44+E45+E46+E47+E50</f>
        <v>1403500</v>
      </c>
      <c r="F37" s="972">
        <f aca="true" t="shared" si="13" ref="F37:L37">F38+F39+F40+F41+F42+F43+F44+F45+F46+F47+F50</f>
        <v>107700</v>
      </c>
      <c r="G37" s="1253">
        <f t="shared" si="13"/>
        <v>1511200</v>
      </c>
      <c r="H37" s="1352">
        <f>H38+H39+H40+H41+H42+H43+H44+H45+H46+H47+H50+H48+H49</f>
        <v>2788973.54</v>
      </c>
      <c r="I37" s="1361">
        <f t="shared" si="3"/>
        <v>1.8455356934886182</v>
      </c>
      <c r="J37" s="1353">
        <f t="shared" si="13"/>
        <v>91701.6</v>
      </c>
      <c r="K37" s="1353">
        <f t="shared" si="13"/>
        <v>63064.420000000006</v>
      </c>
      <c r="L37" s="1353">
        <f t="shared" si="13"/>
        <v>974.16</v>
      </c>
    </row>
    <row r="38" spans="1:12" ht="22.5">
      <c r="A38" s="935"/>
      <c r="B38" s="935"/>
      <c r="C38" s="936" t="s">
        <v>386</v>
      </c>
      <c r="D38" s="937" t="s">
        <v>387</v>
      </c>
      <c r="E38" s="973">
        <v>37500</v>
      </c>
      <c r="F38" s="973">
        <f>G38-E38</f>
        <v>7700</v>
      </c>
      <c r="G38" s="976">
        <v>45200</v>
      </c>
      <c r="H38" s="1357">
        <v>48600.99</v>
      </c>
      <c r="I38" s="1360">
        <f t="shared" si="3"/>
        <v>1.0752431415929202</v>
      </c>
      <c r="J38" s="941">
        <v>4496.8</v>
      </c>
      <c r="K38" s="941">
        <v>319.56</v>
      </c>
      <c r="L38" s="941">
        <v>0</v>
      </c>
    </row>
    <row r="39" spans="1:12" ht="22.5">
      <c r="A39" s="935"/>
      <c r="B39" s="935"/>
      <c r="C39" s="936" t="s">
        <v>388</v>
      </c>
      <c r="D39" s="937" t="s">
        <v>389</v>
      </c>
      <c r="E39" s="973">
        <v>50000</v>
      </c>
      <c r="F39" s="973">
        <f aca="true" t="shared" si="14" ref="F39:F50">G39-E39</f>
        <v>0</v>
      </c>
      <c r="G39" s="976">
        <v>50000</v>
      </c>
      <c r="H39" s="1357">
        <v>43945.55</v>
      </c>
      <c r="I39" s="1360">
        <f t="shared" si="3"/>
        <v>0.8789110000000001</v>
      </c>
      <c r="J39" s="941">
        <v>22772.81</v>
      </c>
      <c r="K39" s="941">
        <v>22772.81</v>
      </c>
      <c r="L39" s="941">
        <v>450</v>
      </c>
    </row>
    <row r="40" spans="1:12" ht="33.75">
      <c r="A40" s="935"/>
      <c r="B40" s="935"/>
      <c r="C40" s="980" t="s">
        <v>97</v>
      </c>
      <c r="D40" s="981" t="s">
        <v>735</v>
      </c>
      <c r="E40" s="973">
        <v>0</v>
      </c>
      <c r="F40" s="973">
        <f t="shared" si="14"/>
        <v>0</v>
      </c>
      <c r="G40" s="976">
        <v>0</v>
      </c>
      <c r="H40" s="1357">
        <v>40.2</v>
      </c>
      <c r="I40" s="1360">
        <v>0</v>
      </c>
      <c r="J40" s="941">
        <v>0</v>
      </c>
      <c r="K40" s="941">
        <v>0</v>
      </c>
      <c r="L40" s="941">
        <v>0</v>
      </c>
    </row>
    <row r="41" spans="1:12" ht="45">
      <c r="A41" s="935"/>
      <c r="B41" s="935"/>
      <c r="C41" s="936" t="s">
        <v>390</v>
      </c>
      <c r="D41" s="937" t="s">
        <v>391</v>
      </c>
      <c r="E41" s="973">
        <v>0</v>
      </c>
      <c r="F41" s="973">
        <f t="shared" si="14"/>
        <v>100000</v>
      </c>
      <c r="G41" s="976">
        <v>100000</v>
      </c>
      <c r="H41" s="1357">
        <v>100000</v>
      </c>
      <c r="I41" s="1360">
        <f t="shared" si="3"/>
        <v>1</v>
      </c>
      <c r="J41" s="941">
        <v>0</v>
      </c>
      <c r="K41" s="941">
        <v>0</v>
      </c>
      <c r="L41" s="941">
        <v>0</v>
      </c>
    </row>
    <row r="42" spans="1:12" ht="78.75">
      <c r="A42" s="935"/>
      <c r="B42" s="935"/>
      <c r="C42" s="984" t="s">
        <v>371</v>
      </c>
      <c r="D42" s="937" t="s">
        <v>372</v>
      </c>
      <c r="E42" s="973">
        <v>287000</v>
      </c>
      <c r="F42" s="973">
        <f t="shared" si="14"/>
        <v>0</v>
      </c>
      <c r="G42" s="976">
        <v>287000</v>
      </c>
      <c r="H42" s="1357">
        <v>221952.73</v>
      </c>
      <c r="I42" s="1360">
        <f t="shared" si="3"/>
        <v>0.7733544599303136</v>
      </c>
      <c r="J42" s="941">
        <v>7768.86</v>
      </c>
      <c r="K42" s="941">
        <v>6661.86</v>
      </c>
      <c r="L42" s="941">
        <v>0</v>
      </c>
    </row>
    <row r="43" spans="1:12" ht="45">
      <c r="A43" s="935"/>
      <c r="B43" s="935"/>
      <c r="C43" s="936" t="s">
        <v>392</v>
      </c>
      <c r="D43" s="937" t="s">
        <v>393</v>
      </c>
      <c r="E43" s="973">
        <v>29000</v>
      </c>
      <c r="F43" s="973">
        <f t="shared" si="14"/>
        <v>0</v>
      </c>
      <c r="G43" s="976">
        <v>29000</v>
      </c>
      <c r="H43" s="1357">
        <v>34792.73</v>
      </c>
      <c r="I43" s="1360">
        <f t="shared" si="3"/>
        <v>1.1997493103448278</v>
      </c>
      <c r="J43" s="941">
        <v>16365.31</v>
      </c>
      <c r="K43" s="941">
        <v>211.43</v>
      </c>
      <c r="L43" s="941">
        <v>524.16</v>
      </c>
    </row>
    <row r="44" spans="1:12" ht="45">
      <c r="A44" s="935"/>
      <c r="B44" s="935"/>
      <c r="C44" s="936" t="s">
        <v>395</v>
      </c>
      <c r="D44" s="937" t="s">
        <v>396</v>
      </c>
      <c r="E44" s="973">
        <v>1000000</v>
      </c>
      <c r="F44" s="973">
        <f t="shared" si="14"/>
        <v>0</v>
      </c>
      <c r="G44" s="976" t="s">
        <v>397</v>
      </c>
      <c r="H44" s="1357">
        <v>1129616.9</v>
      </c>
      <c r="I44" s="1360">
        <f t="shared" si="3"/>
        <v>1.1296168999999998</v>
      </c>
      <c r="J44" s="941">
        <v>13264.62</v>
      </c>
      <c r="K44" s="941">
        <v>13264.62</v>
      </c>
      <c r="L44" s="941">
        <v>0</v>
      </c>
    </row>
    <row r="45" spans="1:12" ht="12.75">
      <c r="A45" s="935"/>
      <c r="B45" s="935"/>
      <c r="C45" s="980" t="s">
        <v>56</v>
      </c>
      <c r="D45" s="981" t="s">
        <v>57</v>
      </c>
      <c r="E45" s="973">
        <v>0</v>
      </c>
      <c r="F45" s="973">
        <f t="shared" si="14"/>
        <v>0</v>
      </c>
      <c r="G45" s="976">
        <v>0</v>
      </c>
      <c r="H45" s="1357">
        <v>1241.47</v>
      </c>
      <c r="I45" s="1360">
        <v>0</v>
      </c>
      <c r="J45" s="941">
        <v>0</v>
      </c>
      <c r="K45" s="941">
        <v>0</v>
      </c>
      <c r="L45" s="941">
        <v>0</v>
      </c>
    </row>
    <row r="46" spans="1:12" ht="22.5">
      <c r="A46" s="935"/>
      <c r="B46" s="935"/>
      <c r="C46" s="980" t="s">
        <v>431</v>
      </c>
      <c r="D46" s="981" t="s">
        <v>736</v>
      </c>
      <c r="E46" s="973">
        <v>0</v>
      </c>
      <c r="F46" s="973">
        <f t="shared" si="14"/>
        <v>0</v>
      </c>
      <c r="G46" s="976">
        <v>0</v>
      </c>
      <c r="H46" s="1357">
        <v>229.04</v>
      </c>
      <c r="I46" s="1360">
        <v>0</v>
      </c>
      <c r="J46" s="941">
        <v>7199.06</v>
      </c>
      <c r="K46" s="941">
        <v>0</v>
      </c>
      <c r="L46" s="941">
        <v>0</v>
      </c>
    </row>
    <row r="47" spans="1:12" ht="12.75">
      <c r="A47" s="935"/>
      <c r="B47" s="935"/>
      <c r="C47" s="980" t="s">
        <v>58</v>
      </c>
      <c r="D47" s="981" t="s">
        <v>59</v>
      </c>
      <c r="E47" s="973">
        <v>0</v>
      </c>
      <c r="F47" s="973">
        <f t="shared" si="14"/>
        <v>0</v>
      </c>
      <c r="G47" s="976">
        <v>0</v>
      </c>
      <c r="H47" s="1357">
        <v>707.57</v>
      </c>
      <c r="I47" s="1360">
        <v>0</v>
      </c>
      <c r="J47" s="941">
        <v>19834.14</v>
      </c>
      <c r="K47" s="941">
        <v>19834.14</v>
      </c>
      <c r="L47" s="941">
        <v>0</v>
      </c>
    </row>
    <row r="48" spans="1:12" ht="22.5">
      <c r="A48" s="935"/>
      <c r="B48" s="935"/>
      <c r="C48" s="984" t="s">
        <v>463</v>
      </c>
      <c r="D48" s="981" t="s">
        <v>464</v>
      </c>
      <c r="E48" s="973">
        <v>0</v>
      </c>
      <c r="F48" s="973">
        <f t="shared" si="14"/>
        <v>0</v>
      </c>
      <c r="G48" s="976">
        <v>0</v>
      </c>
      <c r="H48" s="1357">
        <v>200.83</v>
      </c>
      <c r="I48" s="1360">
        <v>0</v>
      </c>
      <c r="J48" s="941">
        <v>0</v>
      </c>
      <c r="K48" s="941">
        <v>0</v>
      </c>
      <c r="L48" s="941">
        <v>0</v>
      </c>
    </row>
    <row r="49" spans="1:12" ht="22.5">
      <c r="A49" s="935"/>
      <c r="B49" s="935"/>
      <c r="C49" s="984" t="s">
        <v>846</v>
      </c>
      <c r="D49" s="981" t="s">
        <v>847</v>
      </c>
      <c r="E49" s="973">
        <v>0</v>
      </c>
      <c r="F49" s="973">
        <f t="shared" si="14"/>
        <v>0</v>
      </c>
      <c r="G49" s="976">
        <v>0</v>
      </c>
      <c r="H49" s="1357">
        <v>11.5</v>
      </c>
      <c r="I49" s="1360">
        <v>0</v>
      </c>
      <c r="J49" s="941">
        <v>0</v>
      </c>
      <c r="K49" s="941">
        <v>0</v>
      </c>
      <c r="L49" s="941">
        <v>0</v>
      </c>
    </row>
    <row r="50" spans="1:12" ht="67.5">
      <c r="A50" s="935"/>
      <c r="B50" s="935"/>
      <c r="C50" s="936" t="s">
        <v>398</v>
      </c>
      <c r="D50" s="937" t="s">
        <v>399</v>
      </c>
      <c r="E50" s="973">
        <v>0</v>
      </c>
      <c r="F50" s="973">
        <f t="shared" si="14"/>
        <v>0</v>
      </c>
      <c r="G50" s="976">
        <v>0</v>
      </c>
      <c r="H50" s="1357">
        <v>1207634.03</v>
      </c>
      <c r="I50" s="1360">
        <v>0</v>
      </c>
      <c r="J50" s="941">
        <v>0</v>
      </c>
      <c r="K50" s="941">
        <v>0</v>
      </c>
      <c r="L50" s="941">
        <v>0</v>
      </c>
    </row>
    <row r="51" spans="1:12" ht="21.75" customHeight="1">
      <c r="A51" s="965" t="s">
        <v>155</v>
      </c>
      <c r="B51" s="965"/>
      <c r="C51" s="965"/>
      <c r="D51" s="1258" t="s">
        <v>18</v>
      </c>
      <c r="E51" s="1259">
        <f>E52+E55+E60+E63</f>
        <v>153840</v>
      </c>
      <c r="F51" s="1259">
        <f aca="true" t="shared" si="15" ref="F51:L51">F52+F55+F60+F63</f>
        <v>48913</v>
      </c>
      <c r="G51" s="1260">
        <f>G52+G55+G60+G63</f>
        <v>202753</v>
      </c>
      <c r="H51" s="1354">
        <f t="shared" si="15"/>
        <v>189849.49</v>
      </c>
      <c r="I51" s="1459">
        <f t="shared" si="3"/>
        <v>0.9363584755835919</v>
      </c>
      <c r="J51" s="1355">
        <f t="shared" si="15"/>
        <v>1420</v>
      </c>
      <c r="K51" s="1355">
        <f t="shared" si="15"/>
        <v>1420</v>
      </c>
      <c r="L51" s="1355">
        <f t="shared" si="15"/>
        <v>0</v>
      </c>
    </row>
    <row r="52" spans="1:12" ht="15">
      <c r="A52" s="932"/>
      <c r="B52" s="938" t="s">
        <v>400</v>
      </c>
      <c r="C52" s="933"/>
      <c r="D52" s="934" t="s">
        <v>19</v>
      </c>
      <c r="E52" s="972">
        <f>E53+E54</f>
        <v>152140</v>
      </c>
      <c r="F52" s="972">
        <f aca="true" t="shared" si="16" ref="F52:L52">F53+F54</f>
        <v>48913</v>
      </c>
      <c r="G52" s="1253">
        <f t="shared" si="16"/>
        <v>201053</v>
      </c>
      <c r="H52" s="1352">
        <f t="shared" si="16"/>
        <v>187352.71</v>
      </c>
      <c r="I52" s="1361">
        <f t="shared" si="3"/>
        <v>0.9318573212038617</v>
      </c>
      <c r="J52" s="1353">
        <f t="shared" si="16"/>
        <v>0</v>
      </c>
      <c r="K52" s="1353">
        <f t="shared" si="16"/>
        <v>0</v>
      </c>
      <c r="L52" s="1353">
        <f t="shared" si="16"/>
        <v>0</v>
      </c>
    </row>
    <row r="53" spans="1:12" ht="67.5">
      <c r="A53" s="935"/>
      <c r="B53" s="935"/>
      <c r="C53" s="984" t="s">
        <v>373</v>
      </c>
      <c r="D53" s="937" t="s">
        <v>374</v>
      </c>
      <c r="E53" s="973">
        <v>152140</v>
      </c>
      <c r="F53" s="973">
        <f>G53-E53</f>
        <v>48913</v>
      </c>
      <c r="G53" s="976">
        <v>201053</v>
      </c>
      <c r="H53" s="1357">
        <v>187341.86</v>
      </c>
      <c r="I53" s="1360">
        <f t="shared" si="3"/>
        <v>0.9318033553341656</v>
      </c>
      <c r="J53" s="941">
        <v>0</v>
      </c>
      <c r="K53" s="941">
        <v>0</v>
      </c>
      <c r="L53" s="941">
        <v>0</v>
      </c>
    </row>
    <row r="54" spans="1:12" ht="45">
      <c r="A54" s="935"/>
      <c r="B54" s="935"/>
      <c r="C54" s="984" t="s">
        <v>505</v>
      </c>
      <c r="D54" s="981" t="s">
        <v>506</v>
      </c>
      <c r="E54" s="973">
        <v>0</v>
      </c>
      <c r="F54" s="973">
        <f>G54-E54</f>
        <v>0</v>
      </c>
      <c r="G54" s="976">
        <v>0</v>
      </c>
      <c r="H54" s="1357">
        <v>10.85</v>
      </c>
      <c r="I54" s="1360">
        <v>0</v>
      </c>
      <c r="J54" s="941">
        <v>0</v>
      </c>
      <c r="K54" s="941">
        <v>0</v>
      </c>
      <c r="L54" s="941">
        <v>0</v>
      </c>
    </row>
    <row r="55" spans="1:12" ht="22.5">
      <c r="A55" s="932"/>
      <c r="B55" s="938" t="s">
        <v>159</v>
      </c>
      <c r="C55" s="933"/>
      <c r="D55" s="934" t="s">
        <v>401</v>
      </c>
      <c r="E55" s="972">
        <f>E56+E57+E58+E59</f>
        <v>1700</v>
      </c>
      <c r="F55" s="972">
        <f>F56+F57+F58+F59</f>
        <v>0</v>
      </c>
      <c r="G55" s="1253">
        <f>G56+G57+G58+G59</f>
        <v>1700</v>
      </c>
      <c r="H55" s="1352">
        <f>H56+H57+H58+H59</f>
        <v>2382.98</v>
      </c>
      <c r="I55" s="1361">
        <f t="shared" si="3"/>
        <v>1.4017529411764706</v>
      </c>
      <c r="J55" s="1353">
        <f>J56+J57+J58+J59</f>
        <v>1420</v>
      </c>
      <c r="K55" s="1353">
        <f>K56+K57+K58+K59</f>
        <v>1420</v>
      </c>
      <c r="L55" s="1353">
        <f>L56+L57+L58+L59</f>
        <v>0</v>
      </c>
    </row>
    <row r="56" spans="1:12" ht="33.75">
      <c r="A56" s="935"/>
      <c r="B56" s="935"/>
      <c r="C56" s="936" t="s">
        <v>402</v>
      </c>
      <c r="D56" s="937" t="s">
        <v>403</v>
      </c>
      <c r="E56" s="973">
        <v>1000</v>
      </c>
      <c r="F56" s="973">
        <f>G56-E56</f>
        <v>0</v>
      </c>
      <c r="G56" s="976" t="s">
        <v>404</v>
      </c>
      <c r="H56" s="1357">
        <v>750</v>
      </c>
      <c r="I56" s="1360">
        <f t="shared" si="3"/>
        <v>0.75</v>
      </c>
      <c r="J56" s="941">
        <v>1420</v>
      </c>
      <c r="K56" s="941">
        <v>1420</v>
      </c>
      <c r="L56" s="941">
        <v>0</v>
      </c>
    </row>
    <row r="57" spans="1:12" ht="33.75">
      <c r="A57" s="935"/>
      <c r="B57" s="935"/>
      <c r="C57" s="980" t="s">
        <v>97</v>
      </c>
      <c r="D57" s="981" t="s">
        <v>735</v>
      </c>
      <c r="E57" s="973">
        <v>0</v>
      </c>
      <c r="F57" s="973">
        <f>G57-E57</f>
        <v>0</v>
      </c>
      <c r="G57" s="976">
        <v>0</v>
      </c>
      <c r="H57" s="1357">
        <v>24.6</v>
      </c>
      <c r="I57" s="1360">
        <v>0</v>
      </c>
      <c r="J57" s="941">
        <v>0</v>
      </c>
      <c r="K57" s="941">
        <v>0</v>
      </c>
      <c r="L57" s="941">
        <v>0</v>
      </c>
    </row>
    <row r="58" spans="1:12" ht="22.5">
      <c r="A58" s="935"/>
      <c r="B58" s="935"/>
      <c r="C58" s="984" t="s">
        <v>848</v>
      </c>
      <c r="D58" s="981" t="s">
        <v>847</v>
      </c>
      <c r="E58" s="973">
        <v>0</v>
      </c>
      <c r="F58" s="973">
        <f>G58-E58</f>
        <v>0</v>
      </c>
      <c r="G58" s="976">
        <v>0</v>
      </c>
      <c r="H58" s="1357">
        <v>750</v>
      </c>
      <c r="I58" s="1360">
        <v>0</v>
      </c>
      <c r="J58" s="941">
        <v>0</v>
      </c>
      <c r="K58" s="941">
        <v>0</v>
      </c>
      <c r="L58" s="941">
        <v>0</v>
      </c>
    </row>
    <row r="59" spans="1:12" ht="12.75">
      <c r="A59" s="935"/>
      <c r="B59" s="935"/>
      <c r="C59" s="936" t="s">
        <v>60</v>
      </c>
      <c r="D59" s="937" t="s">
        <v>61</v>
      </c>
      <c r="E59" s="973">
        <v>700</v>
      </c>
      <c r="F59" s="973">
        <f>G59-E59</f>
        <v>0</v>
      </c>
      <c r="G59" s="976">
        <v>700</v>
      </c>
      <c r="H59" s="1357">
        <v>858.38</v>
      </c>
      <c r="I59" s="1360">
        <f t="shared" si="3"/>
        <v>1.226257142857143</v>
      </c>
      <c r="J59" s="941">
        <v>0</v>
      </c>
      <c r="K59" s="941">
        <v>0</v>
      </c>
      <c r="L59" s="941">
        <v>0</v>
      </c>
    </row>
    <row r="60" spans="1:12" ht="22.5">
      <c r="A60" s="932"/>
      <c r="B60" s="938" t="s">
        <v>405</v>
      </c>
      <c r="C60" s="933"/>
      <c r="D60" s="934" t="s">
        <v>72</v>
      </c>
      <c r="E60" s="972">
        <f>E61+E62</f>
        <v>0</v>
      </c>
      <c r="F60" s="972">
        <f aca="true" t="shared" si="17" ref="F60:L60">F61+F62</f>
        <v>0</v>
      </c>
      <c r="G60" s="1253">
        <f t="shared" si="17"/>
        <v>0</v>
      </c>
      <c r="H60" s="1352">
        <f t="shared" si="17"/>
        <v>113.8</v>
      </c>
      <c r="I60" s="1361">
        <v>0</v>
      </c>
      <c r="J60" s="1353">
        <f t="shared" si="17"/>
        <v>0</v>
      </c>
      <c r="K60" s="1353">
        <f t="shared" si="17"/>
        <v>0</v>
      </c>
      <c r="L60" s="1353">
        <f t="shared" si="17"/>
        <v>0</v>
      </c>
    </row>
    <row r="61" spans="1:12" s="987" customFormat="1" ht="15">
      <c r="A61" s="985"/>
      <c r="B61" s="986"/>
      <c r="C61" s="988" t="s">
        <v>739</v>
      </c>
      <c r="D61" s="989" t="s">
        <v>740</v>
      </c>
      <c r="E61" s="990">
        <v>0</v>
      </c>
      <c r="F61" s="990">
        <f>G61-E61</f>
        <v>0</v>
      </c>
      <c r="G61" s="991">
        <v>0</v>
      </c>
      <c r="H61" s="1358">
        <v>113.8</v>
      </c>
      <c r="I61" s="1360">
        <v>0</v>
      </c>
      <c r="J61" s="1359">
        <v>0</v>
      </c>
      <c r="K61" s="1359">
        <v>0</v>
      </c>
      <c r="L61" s="1359">
        <v>0</v>
      </c>
    </row>
    <row r="62" spans="1:12" ht="56.25">
      <c r="A62" s="935"/>
      <c r="B62" s="935"/>
      <c r="C62" s="936" t="s">
        <v>367</v>
      </c>
      <c r="D62" s="937" t="s">
        <v>368</v>
      </c>
      <c r="E62" s="973">
        <v>0</v>
      </c>
      <c r="F62" s="990">
        <f>G62-E62</f>
        <v>0</v>
      </c>
      <c r="G62" s="976">
        <v>0</v>
      </c>
      <c r="H62" s="1357">
        <v>0</v>
      </c>
      <c r="I62" s="1360">
        <v>0</v>
      </c>
      <c r="J62" s="941">
        <v>0</v>
      </c>
      <c r="K62" s="941">
        <v>0</v>
      </c>
      <c r="L62" s="941">
        <v>0</v>
      </c>
    </row>
    <row r="63" spans="1:12" ht="22.5">
      <c r="A63" s="935"/>
      <c r="B63" s="992" t="s">
        <v>601</v>
      </c>
      <c r="C63" s="933"/>
      <c r="D63" s="983" t="s">
        <v>602</v>
      </c>
      <c r="E63" s="972">
        <f>E64</f>
        <v>0</v>
      </c>
      <c r="F63" s="972">
        <f aca="true" t="shared" si="18" ref="F63:L63">F64</f>
        <v>0</v>
      </c>
      <c r="G63" s="1253">
        <f t="shared" si="18"/>
        <v>0</v>
      </c>
      <c r="H63" s="1352">
        <f t="shared" si="18"/>
        <v>0</v>
      </c>
      <c r="I63" s="1361">
        <v>0</v>
      </c>
      <c r="J63" s="1353">
        <f t="shared" si="18"/>
        <v>0</v>
      </c>
      <c r="K63" s="1353">
        <f t="shared" si="18"/>
        <v>0</v>
      </c>
      <c r="L63" s="1353">
        <f t="shared" si="18"/>
        <v>0</v>
      </c>
    </row>
    <row r="64" spans="1:12" ht="22.5">
      <c r="A64" s="935"/>
      <c r="B64" s="935"/>
      <c r="C64" s="984" t="s">
        <v>737</v>
      </c>
      <c r="D64" s="981" t="s">
        <v>738</v>
      </c>
      <c r="E64" s="973">
        <v>0</v>
      </c>
      <c r="F64" s="973">
        <f>G64-E64</f>
        <v>0</v>
      </c>
      <c r="G64" s="976">
        <v>0</v>
      </c>
      <c r="H64" s="1357">
        <v>0</v>
      </c>
      <c r="I64" s="1360">
        <v>0</v>
      </c>
      <c r="J64" s="941">
        <v>0</v>
      </c>
      <c r="K64" s="941">
        <v>0</v>
      </c>
      <c r="L64" s="941">
        <v>0</v>
      </c>
    </row>
    <row r="65" spans="1:12" ht="33.75">
      <c r="A65" s="965" t="s">
        <v>406</v>
      </c>
      <c r="B65" s="965"/>
      <c r="C65" s="965"/>
      <c r="D65" s="1258" t="s">
        <v>407</v>
      </c>
      <c r="E65" s="1259">
        <f>E66+E68+E70</f>
        <v>3517</v>
      </c>
      <c r="F65" s="1259">
        <f>F66+F68+F70</f>
        <v>152415</v>
      </c>
      <c r="G65" s="1259">
        <f>G66+G68+G70</f>
        <v>155932</v>
      </c>
      <c r="H65" s="1259">
        <f>H66+H68+H70</f>
        <v>155932</v>
      </c>
      <c r="I65" s="1459">
        <f t="shared" si="3"/>
        <v>1</v>
      </c>
      <c r="J65" s="1355">
        <f>J66+J68</f>
        <v>0</v>
      </c>
      <c r="K65" s="1355">
        <f>K66+K68</f>
        <v>0</v>
      </c>
      <c r="L65" s="1355">
        <f>L66+L68</f>
        <v>0</v>
      </c>
    </row>
    <row r="66" spans="1:12" ht="22.5">
      <c r="A66" s="932"/>
      <c r="B66" s="938" t="s">
        <v>408</v>
      </c>
      <c r="C66" s="933"/>
      <c r="D66" s="934" t="s">
        <v>409</v>
      </c>
      <c r="E66" s="972">
        <f>E67</f>
        <v>3517</v>
      </c>
      <c r="F66" s="972">
        <f aca="true" t="shared" si="19" ref="F66:L66">F67</f>
        <v>0</v>
      </c>
      <c r="G66" s="1253">
        <f t="shared" si="19"/>
        <v>3517</v>
      </c>
      <c r="H66" s="1352">
        <f t="shared" si="19"/>
        <v>3517</v>
      </c>
      <c r="I66" s="1361">
        <f t="shared" si="3"/>
        <v>1</v>
      </c>
      <c r="J66" s="1353">
        <f t="shared" si="19"/>
        <v>0</v>
      </c>
      <c r="K66" s="1353">
        <f t="shared" si="19"/>
        <v>0</v>
      </c>
      <c r="L66" s="1353">
        <f t="shared" si="19"/>
        <v>0</v>
      </c>
    </row>
    <row r="67" spans="1:12" ht="67.5">
      <c r="A67" s="935"/>
      <c r="B67" s="935"/>
      <c r="C67" s="936" t="s">
        <v>373</v>
      </c>
      <c r="D67" s="937" t="s">
        <v>374</v>
      </c>
      <c r="E67" s="973">
        <v>3517</v>
      </c>
      <c r="F67" s="973">
        <f>G67-E67</f>
        <v>0</v>
      </c>
      <c r="G67" s="976">
        <v>3517</v>
      </c>
      <c r="H67" s="1357">
        <v>3517</v>
      </c>
      <c r="I67" s="1360">
        <f t="shared" si="3"/>
        <v>1</v>
      </c>
      <c r="J67" s="941">
        <v>0</v>
      </c>
      <c r="K67" s="941">
        <v>0</v>
      </c>
      <c r="L67" s="941">
        <v>0</v>
      </c>
    </row>
    <row r="68" spans="1:12" ht="56.25">
      <c r="A68" s="932"/>
      <c r="B68" s="992" t="s">
        <v>849</v>
      </c>
      <c r="C68" s="933"/>
      <c r="D68" s="934" t="s">
        <v>26</v>
      </c>
      <c r="E68" s="972">
        <f>E69</f>
        <v>0</v>
      </c>
      <c r="F68" s="972">
        <f aca="true" t="shared" si="20" ref="F68:L68">F69</f>
        <v>76450</v>
      </c>
      <c r="G68" s="1253">
        <f t="shared" si="20"/>
        <v>76450</v>
      </c>
      <c r="H68" s="1352">
        <f t="shared" si="20"/>
        <v>76450</v>
      </c>
      <c r="I68" s="1361">
        <f t="shared" si="3"/>
        <v>1</v>
      </c>
      <c r="J68" s="1353">
        <f t="shared" si="20"/>
        <v>0</v>
      </c>
      <c r="K68" s="1353">
        <f t="shared" si="20"/>
        <v>0</v>
      </c>
      <c r="L68" s="1353">
        <f t="shared" si="20"/>
        <v>0</v>
      </c>
    </row>
    <row r="69" spans="1:12" ht="67.5">
      <c r="A69" s="935"/>
      <c r="B69" s="935"/>
      <c r="C69" s="1473" t="s">
        <v>373</v>
      </c>
      <c r="D69" s="1391" t="s">
        <v>374</v>
      </c>
      <c r="E69" s="1378">
        <v>0</v>
      </c>
      <c r="F69" s="1378">
        <f>G69-E69</f>
        <v>76450</v>
      </c>
      <c r="G69" s="1379">
        <v>76450</v>
      </c>
      <c r="H69" s="1380">
        <v>76450</v>
      </c>
      <c r="I69" s="1381">
        <f t="shared" si="3"/>
        <v>1</v>
      </c>
      <c r="J69" s="1382">
        <v>0</v>
      </c>
      <c r="K69" s="1382">
        <v>0</v>
      </c>
      <c r="L69" s="1382">
        <v>0</v>
      </c>
    </row>
    <row r="70" spans="1:12" ht="12.75">
      <c r="A70" s="1371"/>
      <c r="B70" s="992" t="s">
        <v>850</v>
      </c>
      <c r="C70" s="992"/>
      <c r="D70" s="992" t="s">
        <v>851</v>
      </c>
      <c r="E70" s="974">
        <f>E71</f>
        <v>0</v>
      </c>
      <c r="F70" s="974">
        <f aca="true" t="shared" si="21" ref="F70:L70">F71</f>
        <v>75965</v>
      </c>
      <c r="G70" s="974">
        <f t="shared" si="21"/>
        <v>75965</v>
      </c>
      <c r="H70" s="974">
        <f t="shared" si="21"/>
        <v>75965</v>
      </c>
      <c r="I70" s="1478">
        <f>I71</f>
        <v>1</v>
      </c>
      <c r="J70" s="1479">
        <f t="shared" si="21"/>
        <v>0</v>
      </c>
      <c r="K70" s="1479">
        <f t="shared" si="21"/>
        <v>0</v>
      </c>
      <c r="L70" s="1479">
        <f t="shared" si="21"/>
        <v>0</v>
      </c>
    </row>
    <row r="71" spans="1:12" ht="67.5">
      <c r="A71" s="935"/>
      <c r="B71" s="935"/>
      <c r="C71" s="1477" t="s">
        <v>373</v>
      </c>
      <c r="D71" s="1391" t="s">
        <v>374</v>
      </c>
      <c r="E71" s="1383">
        <v>0</v>
      </c>
      <c r="F71" s="1383">
        <f>G71-E71</f>
        <v>75965</v>
      </c>
      <c r="G71" s="1384">
        <v>75965</v>
      </c>
      <c r="H71" s="1363">
        <v>75965</v>
      </c>
      <c r="I71" s="1385">
        <f>H71/G71</f>
        <v>1</v>
      </c>
      <c r="J71" s="941">
        <v>0</v>
      </c>
      <c r="K71" s="941">
        <v>0</v>
      </c>
      <c r="L71" s="941">
        <v>0</v>
      </c>
    </row>
    <row r="72" spans="1:12" ht="27.75" customHeight="1">
      <c r="A72" s="965" t="s">
        <v>162</v>
      </c>
      <c r="B72" s="965"/>
      <c r="C72" s="965"/>
      <c r="D72" s="1258" t="s">
        <v>266</v>
      </c>
      <c r="E72" s="1259">
        <f>E73+E76</f>
        <v>1000</v>
      </c>
      <c r="F72" s="1259">
        <f>F73+F76</f>
        <v>55000</v>
      </c>
      <c r="G72" s="1259">
        <f>G73+G76</f>
        <v>56000</v>
      </c>
      <c r="H72" s="1259">
        <f>H73+H76</f>
        <v>56113.27</v>
      </c>
      <c r="I72" s="1459">
        <f t="shared" si="3"/>
        <v>1.0020226785714286</v>
      </c>
      <c r="J72" s="1472">
        <f>J73+J76</f>
        <v>152.66</v>
      </c>
      <c r="K72" s="1472">
        <f>K73+K76</f>
        <v>0</v>
      </c>
      <c r="L72" s="1472">
        <f>L73+L76</f>
        <v>0</v>
      </c>
    </row>
    <row r="73" spans="1:12" ht="15">
      <c r="A73" s="932"/>
      <c r="B73" s="938" t="s">
        <v>165</v>
      </c>
      <c r="C73" s="933"/>
      <c r="D73" s="934" t="s">
        <v>267</v>
      </c>
      <c r="E73" s="972">
        <f>E74+E75</f>
        <v>1000</v>
      </c>
      <c r="F73" s="972">
        <f aca="true" t="shared" si="22" ref="F73:L73">F74+F75</f>
        <v>0</v>
      </c>
      <c r="G73" s="1253">
        <f>G74+G75</f>
        <v>1000</v>
      </c>
      <c r="H73" s="1352">
        <f t="shared" si="22"/>
        <v>1113.27</v>
      </c>
      <c r="I73" s="1361">
        <f t="shared" si="3"/>
        <v>1.11327</v>
      </c>
      <c r="J73" s="1353">
        <f t="shared" si="22"/>
        <v>152.66</v>
      </c>
      <c r="K73" s="1353">
        <f t="shared" si="22"/>
        <v>0</v>
      </c>
      <c r="L73" s="1353">
        <f t="shared" si="22"/>
        <v>0</v>
      </c>
    </row>
    <row r="74" spans="1:12" ht="12.75">
      <c r="A74" s="935"/>
      <c r="B74" s="935"/>
      <c r="C74" s="936" t="s">
        <v>56</v>
      </c>
      <c r="D74" s="937" t="s">
        <v>57</v>
      </c>
      <c r="E74" s="973">
        <v>1000</v>
      </c>
      <c r="F74" s="973">
        <f>G74-E74</f>
        <v>0</v>
      </c>
      <c r="G74" s="976" t="s">
        <v>404</v>
      </c>
      <c r="H74" s="1357">
        <v>1113.27</v>
      </c>
      <c r="I74" s="1360">
        <f t="shared" si="3"/>
        <v>1.11327</v>
      </c>
      <c r="J74" s="941">
        <v>152.66</v>
      </c>
      <c r="K74" s="941">
        <v>0</v>
      </c>
      <c r="L74" s="941">
        <v>0</v>
      </c>
    </row>
    <row r="75" spans="1:12" ht="45">
      <c r="A75" s="935"/>
      <c r="B75" s="935"/>
      <c r="C75" s="1473" t="s">
        <v>411</v>
      </c>
      <c r="D75" s="1391" t="s">
        <v>412</v>
      </c>
      <c r="E75" s="1378">
        <v>0</v>
      </c>
      <c r="F75" s="1378">
        <f>G75-E75</f>
        <v>0</v>
      </c>
      <c r="G75" s="1379">
        <v>0</v>
      </c>
      <c r="H75" s="1380">
        <v>0</v>
      </c>
      <c r="I75" s="1381">
        <v>0</v>
      </c>
      <c r="J75" s="1382">
        <v>0</v>
      </c>
      <c r="K75" s="1382">
        <v>0</v>
      </c>
      <c r="L75" s="1382">
        <v>0</v>
      </c>
    </row>
    <row r="76" spans="1:12" ht="22.5">
      <c r="A76" s="1371"/>
      <c r="B76" s="1374" t="s">
        <v>616</v>
      </c>
      <c r="C76" s="1480"/>
      <c r="D76" s="1393" t="s">
        <v>268</v>
      </c>
      <c r="E76" s="977">
        <f>E77+E78</f>
        <v>0</v>
      </c>
      <c r="F76" s="977">
        <f>F77+F78</f>
        <v>55000</v>
      </c>
      <c r="G76" s="977">
        <f>G77+G78</f>
        <v>55000</v>
      </c>
      <c r="H76" s="977">
        <f>H77+H78</f>
        <v>55000</v>
      </c>
      <c r="I76" s="1480"/>
      <c r="J76" s="1521">
        <f>J77+J78</f>
        <v>0</v>
      </c>
      <c r="K76" s="1521">
        <f>K77+K78</f>
        <v>0</v>
      </c>
      <c r="L76" s="1521">
        <f>L77+L78</f>
        <v>0</v>
      </c>
    </row>
    <row r="77" spans="1:12" ht="33.75">
      <c r="A77" s="935"/>
      <c r="B77" s="935"/>
      <c r="C77" s="1477" t="s">
        <v>852</v>
      </c>
      <c r="D77" s="1481" t="s">
        <v>853</v>
      </c>
      <c r="E77" s="1383">
        <v>0</v>
      </c>
      <c r="F77" s="1383">
        <f>G77-E77</f>
        <v>20000</v>
      </c>
      <c r="G77" s="1384">
        <v>20000</v>
      </c>
      <c r="H77" s="941">
        <v>20000</v>
      </c>
      <c r="I77" s="1385">
        <f>H77/G77</f>
        <v>1</v>
      </c>
      <c r="J77" s="941">
        <v>0</v>
      </c>
      <c r="K77" s="941">
        <v>0</v>
      </c>
      <c r="L77" s="941">
        <v>0</v>
      </c>
    </row>
    <row r="78" spans="1:12" ht="67.5">
      <c r="A78" s="935"/>
      <c r="B78" s="935"/>
      <c r="C78" s="1477" t="s">
        <v>120</v>
      </c>
      <c r="D78" s="937" t="s">
        <v>369</v>
      </c>
      <c r="E78" s="1383">
        <v>0</v>
      </c>
      <c r="F78" s="1383">
        <f>G78-E78</f>
        <v>35000</v>
      </c>
      <c r="G78" s="1384">
        <v>35000</v>
      </c>
      <c r="H78" s="1363">
        <v>35000</v>
      </c>
      <c r="I78" s="1385">
        <f>H78/G78</f>
        <v>1</v>
      </c>
      <c r="J78" s="941">
        <v>0</v>
      </c>
      <c r="K78" s="942">
        <v>0</v>
      </c>
      <c r="L78" s="941">
        <v>0</v>
      </c>
    </row>
    <row r="79" spans="1:12" ht="60" customHeight="1">
      <c r="A79" s="965" t="s">
        <v>413</v>
      </c>
      <c r="B79" s="965"/>
      <c r="C79" s="965"/>
      <c r="D79" s="1258" t="s">
        <v>414</v>
      </c>
      <c r="E79" s="1259">
        <f>E80+E83+E92+E104+E110</f>
        <v>26932500</v>
      </c>
      <c r="F79" s="1259">
        <f aca="true" t="shared" si="23" ref="F79:L79">F80+F83+F92+F104+F110</f>
        <v>635317</v>
      </c>
      <c r="G79" s="1260">
        <f t="shared" si="23"/>
        <v>27567817</v>
      </c>
      <c r="H79" s="1354">
        <f t="shared" si="23"/>
        <v>27279406.53</v>
      </c>
      <c r="I79" s="1362">
        <f t="shared" si="3"/>
        <v>0.9895381462376945</v>
      </c>
      <c r="J79" s="1472">
        <f t="shared" si="23"/>
        <v>3551908.61</v>
      </c>
      <c r="K79" s="1355">
        <f t="shared" si="23"/>
        <v>2558704.35</v>
      </c>
      <c r="L79" s="1472">
        <f t="shared" si="23"/>
        <v>31986.520000000004</v>
      </c>
    </row>
    <row r="80" spans="1:12" ht="22.5">
      <c r="A80" s="932"/>
      <c r="B80" s="938" t="s">
        <v>415</v>
      </c>
      <c r="C80" s="933"/>
      <c r="D80" s="934" t="s">
        <v>416</v>
      </c>
      <c r="E80" s="972">
        <f>E81+E82</f>
        <v>60000</v>
      </c>
      <c r="F80" s="972">
        <f aca="true" t="shared" si="24" ref="F80:L80">F81+F82</f>
        <v>0</v>
      </c>
      <c r="G80" s="1253">
        <f t="shared" si="24"/>
        <v>60000</v>
      </c>
      <c r="H80" s="1352">
        <f t="shared" si="24"/>
        <v>67724.94</v>
      </c>
      <c r="I80" s="1361">
        <f t="shared" si="3"/>
        <v>1.128749</v>
      </c>
      <c r="J80" s="1353">
        <f t="shared" si="24"/>
        <v>59110.76</v>
      </c>
      <c r="K80" s="1353">
        <f t="shared" si="24"/>
        <v>59110.76</v>
      </c>
      <c r="L80" s="1353">
        <f t="shared" si="24"/>
        <v>0</v>
      </c>
    </row>
    <row r="81" spans="1:12" ht="33.75">
      <c r="A81" s="935"/>
      <c r="B81" s="935"/>
      <c r="C81" s="936" t="s">
        <v>417</v>
      </c>
      <c r="D81" s="937" t="s">
        <v>418</v>
      </c>
      <c r="E81" s="973">
        <v>60000</v>
      </c>
      <c r="F81" s="973">
        <f>G81-E81</f>
        <v>0</v>
      </c>
      <c r="G81" s="976">
        <v>60000</v>
      </c>
      <c r="H81" s="1357">
        <v>67475.23</v>
      </c>
      <c r="I81" s="1360">
        <f t="shared" si="3"/>
        <v>1.1245871666666667</v>
      </c>
      <c r="J81" s="941">
        <v>59110.76</v>
      </c>
      <c r="K81" s="941">
        <v>59110.76</v>
      </c>
      <c r="L81" s="941">
        <v>0</v>
      </c>
    </row>
    <row r="82" spans="1:12" ht="22.5">
      <c r="A82" s="935"/>
      <c r="B82" s="935"/>
      <c r="C82" s="980" t="s">
        <v>431</v>
      </c>
      <c r="D82" s="981" t="s">
        <v>736</v>
      </c>
      <c r="E82" s="973">
        <v>0</v>
      </c>
      <c r="F82" s="973">
        <f>G82-E82</f>
        <v>0</v>
      </c>
      <c r="G82" s="976">
        <v>0</v>
      </c>
      <c r="H82" s="1357">
        <v>249.71</v>
      </c>
      <c r="I82" s="1360">
        <v>0</v>
      </c>
      <c r="J82" s="941">
        <v>0</v>
      </c>
      <c r="K82" s="941">
        <v>0</v>
      </c>
      <c r="L82" s="941">
        <v>0</v>
      </c>
    </row>
    <row r="83" spans="1:12" ht="56.25">
      <c r="A83" s="932"/>
      <c r="B83" s="938" t="s">
        <v>419</v>
      </c>
      <c r="C83" s="933"/>
      <c r="D83" s="934" t="s">
        <v>420</v>
      </c>
      <c r="E83" s="972">
        <f>E84+E85+E86+E87+E88+E90+E91+E89</f>
        <v>6600355</v>
      </c>
      <c r="F83" s="972">
        <f aca="true" t="shared" si="25" ref="F83:L83">F84+F85+F86+F87+F88+F90+F91+F89</f>
        <v>226000</v>
      </c>
      <c r="G83" s="1253">
        <f t="shared" si="25"/>
        <v>6826355</v>
      </c>
      <c r="H83" s="1352">
        <f t="shared" si="25"/>
        <v>7353613.34</v>
      </c>
      <c r="I83" s="1361">
        <f t="shared" si="3"/>
        <v>1.077238634673995</v>
      </c>
      <c r="J83" s="1353">
        <f t="shared" si="25"/>
        <v>471125.37</v>
      </c>
      <c r="K83" s="1353">
        <f t="shared" si="25"/>
        <v>287603.17000000004</v>
      </c>
      <c r="L83" s="1353">
        <f t="shared" si="25"/>
        <v>81.97</v>
      </c>
    </row>
    <row r="84" spans="1:12" ht="12.75">
      <c r="A84" s="935"/>
      <c r="B84" s="935"/>
      <c r="C84" s="936" t="s">
        <v>421</v>
      </c>
      <c r="D84" s="937" t="s">
        <v>422</v>
      </c>
      <c r="E84" s="973">
        <v>6269360</v>
      </c>
      <c r="F84" s="973">
        <f>G84-E84</f>
        <v>120000</v>
      </c>
      <c r="G84" s="976">
        <v>6389360</v>
      </c>
      <c r="H84" s="1357">
        <v>6916592.49</v>
      </c>
      <c r="I84" s="1360">
        <f t="shared" si="3"/>
        <v>1.08251726150976</v>
      </c>
      <c r="J84" s="941">
        <v>291763.8</v>
      </c>
      <c r="K84" s="941">
        <v>162023.6</v>
      </c>
      <c r="L84" s="941">
        <v>35.97</v>
      </c>
    </row>
    <row r="85" spans="1:12" ht="12.75">
      <c r="A85" s="935"/>
      <c r="B85" s="935"/>
      <c r="C85" s="936" t="s">
        <v>423</v>
      </c>
      <c r="D85" s="937" t="s">
        <v>424</v>
      </c>
      <c r="E85" s="973">
        <v>86191</v>
      </c>
      <c r="F85" s="973">
        <f aca="true" t="shared" si="26" ref="F85:F91">G85-E85</f>
        <v>0</v>
      </c>
      <c r="G85" s="976">
        <v>86191</v>
      </c>
      <c r="H85" s="1357">
        <v>76936.11</v>
      </c>
      <c r="I85" s="1360">
        <f t="shared" si="3"/>
        <v>0.8926234757689318</v>
      </c>
      <c r="J85" s="941">
        <v>57</v>
      </c>
      <c r="K85" s="941">
        <v>57</v>
      </c>
      <c r="L85" s="941">
        <v>42</v>
      </c>
    </row>
    <row r="86" spans="1:12" ht="12.75">
      <c r="A86" s="935"/>
      <c r="B86" s="935"/>
      <c r="C86" s="936" t="s">
        <v>425</v>
      </c>
      <c r="D86" s="937" t="s">
        <v>426</v>
      </c>
      <c r="E86" s="973">
        <v>159801</v>
      </c>
      <c r="F86" s="973">
        <f t="shared" si="26"/>
        <v>0</v>
      </c>
      <c r="G86" s="976">
        <v>159801</v>
      </c>
      <c r="H86" s="1357">
        <v>160710</v>
      </c>
      <c r="I86" s="1360">
        <f t="shared" si="3"/>
        <v>1.0056883248540371</v>
      </c>
      <c r="J86" s="941">
        <v>0</v>
      </c>
      <c r="K86" s="941">
        <v>0</v>
      </c>
      <c r="L86" s="941">
        <v>2</v>
      </c>
    </row>
    <row r="87" spans="1:12" ht="22.5">
      <c r="A87" s="935"/>
      <c r="B87" s="935"/>
      <c r="C87" s="936" t="s">
        <v>427</v>
      </c>
      <c r="D87" s="937" t="s">
        <v>428</v>
      </c>
      <c r="E87" s="973">
        <v>74217</v>
      </c>
      <c r="F87" s="973">
        <f t="shared" si="26"/>
        <v>0</v>
      </c>
      <c r="G87" s="976">
        <v>74217</v>
      </c>
      <c r="H87" s="1357">
        <v>78820.13</v>
      </c>
      <c r="I87" s="1360">
        <f aca="true" t="shared" si="27" ref="I87:I157">H87/G87</f>
        <v>1.0620225824272067</v>
      </c>
      <c r="J87" s="941">
        <v>125522.57</v>
      </c>
      <c r="K87" s="941">
        <v>125522.57</v>
      </c>
      <c r="L87" s="941">
        <v>2</v>
      </c>
    </row>
    <row r="88" spans="1:12" ht="22.5">
      <c r="A88" s="935"/>
      <c r="B88" s="935"/>
      <c r="C88" s="936" t="s">
        <v>429</v>
      </c>
      <c r="D88" s="937" t="s">
        <v>430</v>
      </c>
      <c r="E88" s="973">
        <v>6000</v>
      </c>
      <c r="F88" s="973">
        <f t="shared" si="26"/>
        <v>57000</v>
      </c>
      <c r="G88" s="976">
        <v>63000</v>
      </c>
      <c r="H88" s="1357">
        <v>64113</v>
      </c>
      <c r="I88" s="1360">
        <f t="shared" si="27"/>
        <v>1.0176666666666667</v>
      </c>
      <c r="J88" s="941">
        <v>0</v>
      </c>
      <c r="K88" s="941">
        <v>0</v>
      </c>
      <c r="L88" s="941">
        <v>0</v>
      </c>
    </row>
    <row r="89" spans="1:12" ht="33.75">
      <c r="A89" s="935"/>
      <c r="B89" s="935"/>
      <c r="C89" s="980" t="s">
        <v>97</v>
      </c>
      <c r="D89" s="981" t="s">
        <v>735</v>
      </c>
      <c r="E89" s="973">
        <v>0</v>
      </c>
      <c r="F89" s="973">
        <f t="shared" si="26"/>
        <v>0</v>
      </c>
      <c r="G89" s="976">
        <v>0</v>
      </c>
      <c r="H89" s="1357">
        <v>498.8</v>
      </c>
      <c r="I89" s="1360">
        <v>0</v>
      </c>
      <c r="J89" s="941">
        <v>0</v>
      </c>
      <c r="K89" s="941">
        <v>0</v>
      </c>
      <c r="L89" s="941">
        <v>0</v>
      </c>
    </row>
    <row r="90" spans="1:12" ht="22.5">
      <c r="A90" s="935"/>
      <c r="B90" s="935"/>
      <c r="C90" s="936" t="s">
        <v>431</v>
      </c>
      <c r="D90" s="937" t="s">
        <v>432</v>
      </c>
      <c r="E90" s="973">
        <v>3000</v>
      </c>
      <c r="F90" s="973">
        <f t="shared" si="26"/>
        <v>49000</v>
      </c>
      <c r="G90" s="976">
        <v>52000</v>
      </c>
      <c r="H90" s="1357">
        <v>54007.81</v>
      </c>
      <c r="I90" s="1360">
        <f t="shared" si="27"/>
        <v>1.0386117307692306</v>
      </c>
      <c r="J90" s="941">
        <v>53782</v>
      </c>
      <c r="K90" s="941">
        <v>0</v>
      </c>
      <c r="L90" s="941">
        <v>0</v>
      </c>
    </row>
    <row r="91" spans="1:12" ht="22.5">
      <c r="A91" s="935"/>
      <c r="B91" s="935"/>
      <c r="C91" s="936" t="s">
        <v>433</v>
      </c>
      <c r="D91" s="937" t="s">
        <v>434</v>
      </c>
      <c r="E91" s="973">
        <v>1786</v>
      </c>
      <c r="F91" s="973">
        <f t="shared" si="26"/>
        <v>0</v>
      </c>
      <c r="G91" s="976" t="s">
        <v>435</v>
      </c>
      <c r="H91" s="1357">
        <v>1935</v>
      </c>
      <c r="I91" s="1360">
        <f t="shared" si="27"/>
        <v>1.0834266517357223</v>
      </c>
      <c r="J91" s="941">
        <v>0</v>
      </c>
      <c r="K91" s="941">
        <v>0</v>
      </c>
      <c r="L91" s="941">
        <v>0</v>
      </c>
    </row>
    <row r="92" spans="1:12" ht="56.25">
      <c r="A92" s="932"/>
      <c r="B92" s="938" t="s">
        <v>436</v>
      </c>
      <c r="C92" s="933"/>
      <c r="D92" s="934" t="s">
        <v>437</v>
      </c>
      <c r="E92" s="972">
        <f>E93+E94+E95+E96+E98+E99+E100+E101+E102+E103</f>
        <v>5245064</v>
      </c>
      <c r="F92" s="972">
        <f aca="true" t="shared" si="28" ref="F92:L92">F93+F94+F95+F96+F98+F99+F100+F101+F102+F103</f>
        <v>394317</v>
      </c>
      <c r="G92" s="1253">
        <f t="shared" si="28"/>
        <v>5639381</v>
      </c>
      <c r="H92" s="1352">
        <f t="shared" si="28"/>
        <v>5401490.080000001</v>
      </c>
      <c r="I92" s="1361">
        <f t="shared" si="27"/>
        <v>0.9578161291106242</v>
      </c>
      <c r="J92" s="1353">
        <f t="shared" si="28"/>
        <v>2732817.18</v>
      </c>
      <c r="K92" s="1353">
        <f t="shared" si="28"/>
        <v>2060244.12</v>
      </c>
      <c r="L92" s="1353">
        <f t="shared" si="28"/>
        <v>31904.550000000003</v>
      </c>
    </row>
    <row r="93" spans="1:12" ht="12.75">
      <c r="A93" s="935"/>
      <c r="B93" s="935"/>
      <c r="C93" s="936" t="s">
        <v>421</v>
      </c>
      <c r="D93" s="937" t="s">
        <v>422</v>
      </c>
      <c r="E93" s="973">
        <v>3050012</v>
      </c>
      <c r="F93" s="973">
        <f>G93-E93</f>
        <v>0</v>
      </c>
      <c r="G93" s="976">
        <v>3050012</v>
      </c>
      <c r="H93" s="1357">
        <v>2795616.89</v>
      </c>
      <c r="I93" s="1360">
        <f>H93/G93</f>
        <v>0.9165920953753625</v>
      </c>
      <c r="J93" s="941">
        <v>1688838.06</v>
      </c>
      <c r="K93" s="941">
        <v>1684339</v>
      </c>
      <c r="L93" s="941">
        <v>26764.97</v>
      </c>
    </row>
    <row r="94" spans="1:12" ht="12.75">
      <c r="A94" s="935"/>
      <c r="B94" s="935"/>
      <c r="C94" s="936" t="s">
        <v>423</v>
      </c>
      <c r="D94" s="937" t="s">
        <v>424</v>
      </c>
      <c r="E94" s="973">
        <v>707155</v>
      </c>
      <c r="F94" s="973">
        <f aca="true" t="shared" si="29" ref="F94:F103">G94-E94</f>
        <v>0</v>
      </c>
      <c r="G94" s="976">
        <v>707155</v>
      </c>
      <c r="H94" s="1357">
        <v>611228.93</v>
      </c>
      <c r="I94" s="1360">
        <f t="shared" si="27"/>
        <v>0.8643493010726079</v>
      </c>
      <c r="J94" s="941">
        <v>121615.26</v>
      </c>
      <c r="K94" s="941">
        <v>118897.26</v>
      </c>
      <c r="L94" s="941">
        <v>5024.58</v>
      </c>
    </row>
    <row r="95" spans="1:12" ht="12.75">
      <c r="A95" s="935"/>
      <c r="B95" s="935"/>
      <c r="C95" s="936" t="s">
        <v>425</v>
      </c>
      <c r="D95" s="937" t="s">
        <v>426</v>
      </c>
      <c r="E95" s="973">
        <v>8867</v>
      </c>
      <c r="F95" s="973">
        <f t="shared" si="29"/>
        <v>0</v>
      </c>
      <c r="G95" s="976">
        <v>8867</v>
      </c>
      <c r="H95" s="1357">
        <v>8518</v>
      </c>
      <c r="I95" s="1360">
        <f t="shared" si="27"/>
        <v>0.9606405774219015</v>
      </c>
      <c r="J95" s="941">
        <v>1126</v>
      </c>
      <c r="K95" s="941">
        <v>1118</v>
      </c>
      <c r="L95" s="941">
        <v>26</v>
      </c>
    </row>
    <row r="96" spans="1:12" ht="22.5">
      <c r="A96" s="935"/>
      <c r="B96" s="935"/>
      <c r="C96" s="936" t="s">
        <v>427</v>
      </c>
      <c r="D96" s="937" t="s">
        <v>428</v>
      </c>
      <c r="E96" s="973">
        <v>338271</v>
      </c>
      <c r="F96" s="973">
        <f t="shared" si="29"/>
        <v>0</v>
      </c>
      <c r="G96" s="976">
        <v>338271</v>
      </c>
      <c r="H96" s="1357">
        <v>284997</v>
      </c>
      <c r="I96" s="1360">
        <f t="shared" si="27"/>
        <v>0.8425108862420958</v>
      </c>
      <c r="J96" s="941">
        <v>244236.7</v>
      </c>
      <c r="K96" s="941">
        <v>244236.7</v>
      </c>
      <c r="L96" s="941">
        <v>89</v>
      </c>
    </row>
    <row r="97" spans="1:12" ht="33.75">
      <c r="A97" s="935"/>
      <c r="B97" s="935"/>
      <c r="C97" s="984" t="s">
        <v>417</v>
      </c>
      <c r="D97" s="981" t="s">
        <v>854</v>
      </c>
      <c r="E97" s="973">
        <v>0</v>
      </c>
      <c r="F97" s="973">
        <f t="shared" si="29"/>
        <v>0</v>
      </c>
      <c r="G97" s="976">
        <v>0</v>
      </c>
      <c r="H97" s="1357">
        <v>0</v>
      </c>
      <c r="I97" s="1360">
        <v>0</v>
      </c>
      <c r="J97" s="941">
        <v>0</v>
      </c>
      <c r="K97" s="941">
        <v>0</v>
      </c>
      <c r="L97" s="941">
        <v>0</v>
      </c>
    </row>
    <row r="98" spans="1:12" ht="22.5">
      <c r="A98" s="935"/>
      <c r="B98" s="935"/>
      <c r="C98" s="936" t="s">
        <v>438</v>
      </c>
      <c r="D98" s="937" t="s">
        <v>439</v>
      </c>
      <c r="E98" s="973">
        <v>45000</v>
      </c>
      <c r="F98" s="973">
        <f t="shared" si="29"/>
        <v>147300</v>
      </c>
      <c r="G98" s="976">
        <v>192300</v>
      </c>
      <c r="H98" s="1357">
        <v>271044.45</v>
      </c>
      <c r="I98" s="1360">
        <f t="shared" si="27"/>
        <v>1.40948751950078</v>
      </c>
      <c r="J98" s="941">
        <v>11891.08</v>
      </c>
      <c r="K98" s="941">
        <v>10235.08</v>
      </c>
      <c r="L98" s="941">
        <v>0</v>
      </c>
    </row>
    <row r="99" spans="1:12" ht="12.75">
      <c r="A99" s="935"/>
      <c r="B99" s="935"/>
      <c r="C99" s="936" t="s">
        <v>440</v>
      </c>
      <c r="D99" s="937" t="s">
        <v>441</v>
      </c>
      <c r="E99" s="973">
        <v>50000</v>
      </c>
      <c r="F99" s="973">
        <f t="shared" si="29"/>
        <v>63017</v>
      </c>
      <c r="G99" s="976">
        <v>113017</v>
      </c>
      <c r="H99" s="1357">
        <v>122569</v>
      </c>
      <c r="I99" s="1360">
        <f t="shared" si="27"/>
        <v>1.0845182583151207</v>
      </c>
      <c r="J99" s="941">
        <v>0</v>
      </c>
      <c r="K99" s="941">
        <v>0</v>
      </c>
      <c r="L99" s="941">
        <v>0</v>
      </c>
    </row>
    <row r="100" spans="1:12" ht="22.5">
      <c r="A100" s="935"/>
      <c r="B100" s="935"/>
      <c r="C100" s="936" t="s">
        <v>429</v>
      </c>
      <c r="D100" s="937" t="s">
        <v>430</v>
      </c>
      <c r="E100" s="973">
        <v>500000</v>
      </c>
      <c r="F100" s="973">
        <f t="shared" si="29"/>
        <v>184000</v>
      </c>
      <c r="G100" s="976">
        <v>684000</v>
      </c>
      <c r="H100" s="1357">
        <v>762183.19</v>
      </c>
      <c r="I100" s="1360">
        <f t="shared" si="27"/>
        <v>1.1143029093567252</v>
      </c>
      <c r="J100" s="941">
        <v>5556.08</v>
      </c>
      <c r="K100" s="941">
        <v>1418.08</v>
      </c>
      <c r="L100" s="941">
        <v>0</v>
      </c>
    </row>
    <row r="101" spans="1:12" ht="33.75">
      <c r="A101" s="935"/>
      <c r="B101" s="935"/>
      <c r="C101" s="936" t="s">
        <v>97</v>
      </c>
      <c r="D101" s="937" t="s">
        <v>442</v>
      </c>
      <c r="E101" s="973">
        <v>11000</v>
      </c>
      <c r="F101" s="973">
        <f t="shared" si="29"/>
        <v>0</v>
      </c>
      <c r="G101" s="976" t="s">
        <v>443</v>
      </c>
      <c r="H101" s="1357">
        <v>10217.53</v>
      </c>
      <c r="I101" s="1360">
        <f t="shared" si="27"/>
        <v>0.9288663636363637</v>
      </c>
      <c r="J101" s="941">
        <v>0</v>
      </c>
      <c r="K101" s="941">
        <v>0</v>
      </c>
      <c r="L101" s="941">
        <v>0</v>
      </c>
    </row>
    <row r="102" spans="1:12" ht="22.5">
      <c r="A102" s="935"/>
      <c r="B102" s="935"/>
      <c r="C102" s="936" t="s">
        <v>431</v>
      </c>
      <c r="D102" s="937" t="s">
        <v>432</v>
      </c>
      <c r="E102" s="973">
        <v>20000</v>
      </c>
      <c r="F102" s="973">
        <f t="shared" si="29"/>
        <v>0</v>
      </c>
      <c r="G102" s="976" t="s">
        <v>366</v>
      </c>
      <c r="H102" s="1357">
        <v>24149.09</v>
      </c>
      <c r="I102" s="1360">
        <f t="shared" si="27"/>
        <v>1.2074545</v>
      </c>
      <c r="J102" s="941">
        <v>659554</v>
      </c>
      <c r="K102" s="941">
        <v>0</v>
      </c>
      <c r="L102" s="941">
        <v>0</v>
      </c>
    </row>
    <row r="103" spans="1:12" ht="22.5">
      <c r="A103" s="935"/>
      <c r="B103" s="935"/>
      <c r="C103" s="936" t="s">
        <v>433</v>
      </c>
      <c r="D103" s="937" t="s">
        <v>434</v>
      </c>
      <c r="E103" s="973">
        <v>514759</v>
      </c>
      <c r="F103" s="973">
        <f t="shared" si="29"/>
        <v>0</v>
      </c>
      <c r="G103" s="976">
        <v>514759</v>
      </c>
      <c r="H103" s="1357">
        <v>510966</v>
      </c>
      <c r="I103" s="1360">
        <f t="shared" si="27"/>
        <v>0.9926315032860037</v>
      </c>
      <c r="J103" s="941">
        <v>0</v>
      </c>
      <c r="K103" s="941">
        <v>0</v>
      </c>
      <c r="L103" s="941">
        <v>0</v>
      </c>
    </row>
    <row r="104" spans="1:12" ht="33.75">
      <c r="A104" s="932"/>
      <c r="B104" s="938" t="s">
        <v>444</v>
      </c>
      <c r="C104" s="933"/>
      <c r="D104" s="934" t="s">
        <v>308</v>
      </c>
      <c r="E104" s="972">
        <f>E105+E106+E108+E107+E109</f>
        <v>396000</v>
      </c>
      <c r="F104" s="972">
        <f>F105+F106+F108+F107+F109</f>
        <v>15000</v>
      </c>
      <c r="G104" s="1253">
        <f>G105+G106+G108+G107+G109</f>
        <v>411000</v>
      </c>
      <c r="H104" s="1256">
        <f>H105+H106+H108+H107+H109</f>
        <v>436990.55</v>
      </c>
      <c r="I104" s="1361">
        <f t="shared" si="27"/>
        <v>1.0632373479318735</v>
      </c>
      <c r="J104" s="1353">
        <f>J105+J106+J108+J107+J109</f>
        <v>286773.3</v>
      </c>
      <c r="K104" s="1353">
        <f>K105+K106+K108+K107+K109</f>
        <v>149664.3</v>
      </c>
      <c r="L104" s="1353">
        <f>L105+L106+L108+L107+L109</f>
        <v>0</v>
      </c>
    </row>
    <row r="105" spans="1:12" ht="12.75">
      <c r="A105" s="935"/>
      <c r="B105" s="935"/>
      <c r="C105" s="936" t="s">
        <v>445</v>
      </c>
      <c r="D105" s="937" t="s">
        <v>446</v>
      </c>
      <c r="E105" s="973">
        <v>50000</v>
      </c>
      <c r="F105" s="973">
        <f>G105-E105</f>
        <v>15000</v>
      </c>
      <c r="G105" s="976">
        <v>65000</v>
      </c>
      <c r="H105" s="1357">
        <v>69979</v>
      </c>
      <c r="I105" s="1360">
        <f t="shared" si="27"/>
        <v>1.0766</v>
      </c>
      <c r="J105" s="941">
        <v>0</v>
      </c>
      <c r="K105" s="941">
        <v>0</v>
      </c>
      <c r="L105" s="941">
        <v>0</v>
      </c>
    </row>
    <row r="106" spans="1:12" ht="22.5">
      <c r="A106" s="935"/>
      <c r="B106" s="935"/>
      <c r="C106" s="936" t="s">
        <v>447</v>
      </c>
      <c r="D106" s="937" t="s">
        <v>448</v>
      </c>
      <c r="E106" s="973">
        <v>346000</v>
      </c>
      <c r="F106" s="973">
        <f>G106-E106</f>
        <v>0</v>
      </c>
      <c r="G106" s="976">
        <v>346000</v>
      </c>
      <c r="H106" s="1357">
        <v>351741.25</v>
      </c>
      <c r="I106" s="1360">
        <f t="shared" si="27"/>
        <v>1.0165932080924855</v>
      </c>
      <c r="J106" s="941">
        <v>0</v>
      </c>
      <c r="K106" s="941">
        <v>0</v>
      </c>
      <c r="L106" s="941">
        <v>0</v>
      </c>
    </row>
    <row r="107" spans="1:12" ht="45">
      <c r="A107" s="935"/>
      <c r="B107" s="935"/>
      <c r="C107" s="980" t="s">
        <v>382</v>
      </c>
      <c r="D107" s="981" t="s">
        <v>383</v>
      </c>
      <c r="E107" s="973">
        <v>0</v>
      </c>
      <c r="F107" s="973">
        <v>0</v>
      </c>
      <c r="G107" s="976">
        <v>0</v>
      </c>
      <c r="H107" s="1357">
        <v>15270.3</v>
      </c>
      <c r="I107" s="1360">
        <v>0</v>
      </c>
      <c r="J107" s="941">
        <v>149664.3</v>
      </c>
      <c r="K107" s="941">
        <v>149664.3</v>
      </c>
      <c r="L107" s="941">
        <v>0</v>
      </c>
    </row>
    <row r="108" spans="1:12" ht="12.75">
      <c r="A108" s="935"/>
      <c r="B108" s="935"/>
      <c r="C108" s="980" t="s">
        <v>91</v>
      </c>
      <c r="D108" s="937" t="s">
        <v>347</v>
      </c>
      <c r="E108" s="973">
        <v>0</v>
      </c>
      <c r="F108" s="973">
        <f>G108-E108</f>
        <v>0</v>
      </c>
      <c r="G108" s="976">
        <v>0</v>
      </c>
      <c r="H108" s="1357">
        <v>0</v>
      </c>
      <c r="I108" s="1360">
        <v>0</v>
      </c>
      <c r="J108" s="941">
        <v>0</v>
      </c>
      <c r="K108" s="941">
        <v>0</v>
      </c>
      <c r="L108" s="941">
        <v>0</v>
      </c>
    </row>
    <row r="109" spans="1:12" ht="22.5">
      <c r="A109" s="1364"/>
      <c r="B109" s="935"/>
      <c r="C109" s="980" t="s">
        <v>431</v>
      </c>
      <c r="D109" s="937" t="s">
        <v>432</v>
      </c>
      <c r="E109" s="973">
        <v>0</v>
      </c>
      <c r="F109" s="973"/>
      <c r="G109" s="976">
        <v>0</v>
      </c>
      <c r="H109" s="1363">
        <v>0</v>
      </c>
      <c r="I109" s="1360">
        <v>0</v>
      </c>
      <c r="J109" s="941">
        <v>137109</v>
      </c>
      <c r="K109" s="941">
        <v>0</v>
      </c>
      <c r="L109" s="941">
        <v>0</v>
      </c>
    </row>
    <row r="110" spans="1:12" ht="22.5">
      <c r="A110" s="932"/>
      <c r="B110" s="938" t="s">
        <v>449</v>
      </c>
      <c r="C110" s="933"/>
      <c r="D110" s="934" t="s">
        <v>450</v>
      </c>
      <c r="E110" s="972">
        <f>E111+E112</f>
        <v>14631081</v>
      </c>
      <c r="F110" s="972">
        <f aca="true" t="shared" si="30" ref="F110:L110">F111+F112</f>
        <v>0</v>
      </c>
      <c r="G110" s="1253">
        <f t="shared" si="30"/>
        <v>14631081</v>
      </c>
      <c r="H110" s="1352">
        <f t="shared" si="30"/>
        <v>14019587.62</v>
      </c>
      <c r="I110" s="1361">
        <f t="shared" si="27"/>
        <v>0.9582058646247669</v>
      </c>
      <c r="J110" s="1365">
        <f t="shared" si="30"/>
        <v>2082</v>
      </c>
      <c r="K110" s="1365">
        <f t="shared" si="30"/>
        <v>2082</v>
      </c>
      <c r="L110" s="1365">
        <f t="shared" si="30"/>
        <v>0</v>
      </c>
    </row>
    <row r="111" spans="1:12" ht="22.5">
      <c r="A111" s="935"/>
      <c r="B111" s="935"/>
      <c r="C111" s="936" t="s">
        <v>451</v>
      </c>
      <c r="D111" s="937" t="s">
        <v>416</v>
      </c>
      <c r="E111" s="973">
        <v>13131081</v>
      </c>
      <c r="F111" s="973">
        <f>G111-E111</f>
        <v>0</v>
      </c>
      <c r="G111" s="976">
        <v>13131081</v>
      </c>
      <c r="H111" s="1357">
        <v>13255199</v>
      </c>
      <c r="I111" s="1360">
        <f t="shared" si="27"/>
        <v>1.0094522301705398</v>
      </c>
      <c r="J111" s="941">
        <v>2082</v>
      </c>
      <c r="K111" s="941">
        <v>2082</v>
      </c>
      <c r="L111" s="941">
        <v>0</v>
      </c>
    </row>
    <row r="112" spans="1:12" ht="22.5">
      <c r="A112" s="935"/>
      <c r="B112" s="935"/>
      <c r="C112" s="936" t="s">
        <v>452</v>
      </c>
      <c r="D112" s="937" t="s">
        <v>453</v>
      </c>
      <c r="E112" s="973">
        <v>1500000</v>
      </c>
      <c r="F112" s="973">
        <f>G112-E112</f>
        <v>0</v>
      </c>
      <c r="G112" s="976" t="s">
        <v>454</v>
      </c>
      <c r="H112" s="1357">
        <v>764388.62</v>
      </c>
      <c r="I112" s="1360">
        <f t="shared" si="27"/>
        <v>0.5095924133333334</v>
      </c>
      <c r="J112" s="941">
        <v>0</v>
      </c>
      <c r="K112" s="941">
        <v>0</v>
      </c>
      <c r="L112" s="941">
        <v>0</v>
      </c>
    </row>
    <row r="113" spans="1:12" ht="24.75" customHeight="1">
      <c r="A113" s="965" t="s">
        <v>455</v>
      </c>
      <c r="B113" s="965"/>
      <c r="C113" s="965"/>
      <c r="D113" s="1258" t="s">
        <v>66</v>
      </c>
      <c r="E113" s="1259">
        <f>E114+E116+E118+E130</f>
        <v>20050389</v>
      </c>
      <c r="F113" s="1259">
        <f aca="true" t="shared" si="31" ref="F113:L113">F114+F116+F118+F130</f>
        <v>619015.8300000001</v>
      </c>
      <c r="G113" s="1260">
        <f t="shared" si="31"/>
        <v>20669404.83</v>
      </c>
      <c r="H113" s="1354">
        <f t="shared" si="31"/>
        <v>20677838.66</v>
      </c>
      <c r="I113" s="1459">
        <f t="shared" si="27"/>
        <v>1.000408034487174</v>
      </c>
      <c r="J113" s="1355">
        <f t="shared" si="31"/>
        <v>166.57</v>
      </c>
      <c r="K113" s="1355">
        <f t="shared" si="31"/>
        <v>166.57</v>
      </c>
      <c r="L113" s="1355">
        <f t="shared" si="31"/>
        <v>0</v>
      </c>
    </row>
    <row r="114" spans="1:12" ht="22.5">
      <c r="A114" s="932"/>
      <c r="B114" s="938" t="s">
        <v>456</v>
      </c>
      <c r="C114" s="933"/>
      <c r="D114" s="934" t="s">
        <v>457</v>
      </c>
      <c r="E114" s="972">
        <f>E115</f>
        <v>14605026</v>
      </c>
      <c r="F114" s="972">
        <f aca="true" t="shared" si="32" ref="F114:L114">F115</f>
        <v>315026</v>
      </c>
      <c r="G114" s="1253">
        <f t="shared" si="32"/>
        <v>14920052</v>
      </c>
      <c r="H114" s="1352">
        <f t="shared" si="32"/>
        <v>14920052</v>
      </c>
      <c r="I114" s="1361">
        <f t="shared" si="27"/>
        <v>1</v>
      </c>
      <c r="J114" s="1353">
        <f t="shared" si="32"/>
        <v>0</v>
      </c>
      <c r="K114" s="1353">
        <f t="shared" si="32"/>
        <v>0</v>
      </c>
      <c r="L114" s="1353">
        <f t="shared" si="32"/>
        <v>0</v>
      </c>
    </row>
    <row r="115" spans="1:12" ht="12.75">
      <c r="A115" s="935"/>
      <c r="B115" s="935"/>
      <c r="C115" s="936" t="s">
        <v>458</v>
      </c>
      <c r="D115" s="937" t="s">
        <v>459</v>
      </c>
      <c r="E115" s="973">
        <v>14605026</v>
      </c>
      <c r="F115" s="973">
        <f>G115-E115</f>
        <v>315026</v>
      </c>
      <c r="G115" s="976">
        <v>14920052</v>
      </c>
      <c r="H115" s="1357">
        <v>14920052</v>
      </c>
      <c r="I115" s="1360">
        <f t="shared" si="27"/>
        <v>1</v>
      </c>
      <c r="J115" s="941">
        <v>0</v>
      </c>
      <c r="K115" s="941">
        <v>0</v>
      </c>
      <c r="L115" s="941">
        <v>0</v>
      </c>
    </row>
    <row r="116" spans="1:12" ht="22.5">
      <c r="A116" s="932"/>
      <c r="B116" s="938" t="s">
        <v>460</v>
      </c>
      <c r="C116" s="933"/>
      <c r="D116" s="934" t="s">
        <v>461</v>
      </c>
      <c r="E116" s="972">
        <f>E117</f>
        <v>5163809</v>
      </c>
      <c r="F116" s="972">
        <f aca="true" t="shared" si="33" ref="F116:L116">F117</f>
        <v>0</v>
      </c>
      <c r="G116" s="1253">
        <f t="shared" si="33"/>
        <v>5163809</v>
      </c>
      <c r="H116" s="1352">
        <f t="shared" si="33"/>
        <v>5163809</v>
      </c>
      <c r="I116" s="1361">
        <f t="shared" si="27"/>
        <v>1</v>
      </c>
      <c r="J116" s="1353">
        <f t="shared" si="33"/>
        <v>0</v>
      </c>
      <c r="K116" s="1353">
        <f t="shared" si="33"/>
        <v>0</v>
      </c>
      <c r="L116" s="1353">
        <f t="shared" si="33"/>
        <v>0</v>
      </c>
    </row>
    <row r="117" spans="1:12" ht="12.75">
      <c r="A117" s="935"/>
      <c r="B117" s="935"/>
      <c r="C117" s="936" t="s">
        <v>458</v>
      </c>
      <c r="D117" s="937" t="s">
        <v>459</v>
      </c>
      <c r="E117" s="973">
        <v>5163809</v>
      </c>
      <c r="F117" s="973">
        <f>G117-E117</f>
        <v>0</v>
      </c>
      <c r="G117" s="976">
        <v>5163809</v>
      </c>
      <c r="H117" s="1357">
        <v>5163809</v>
      </c>
      <c r="I117" s="1360">
        <f t="shared" si="27"/>
        <v>1</v>
      </c>
      <c r="J117" s="941">
        <v>0</v>
      </c>
      <c r="K117" s="941">
        <v>0</v>
      </c>
      <c r="L117" s="941">
        <v>0</v>
      </c>
    </row>
    <row r="118" spans="1:12" ht="15">
      <c r="A118" s="932"/>
      <c r="B118" s="938" t="s">
        <v>462</v>
      </c>
      <c r="C118" s="933"/>
      <c r="D118" s="934" t="s">
        <v>24</v>
      </c>
      <c r="E118" s="972">
        <f>E119+E120+E121+E122+E123+E124+E125+E126+E127+E128+E129</f>
        <v>60000</v>
      </c>
      <c r="F118" s="972">
        <f aca="true" t="shared" si="34" ref="F118:L118">F119+F120+F121+F122+F123+F124+F125+F126+F127+F128+F129</f>
        <v>303989.83</v>
      </c>
      <c r="G118" s="1253">
        <f t="shared" si="34"/>
        <v>363989.83</v>
      </c>
      <c r="H118" s="1352">
        <f t="shared" si="34"/>
        <v>372423.66000000003</v>
      </c>
      <c r="I118" s="1361">
        <f t="shared" si="27"/>
        <v>1.0231705100112276</v>
      </c>
      <c r="J118" s="1353">
        <f t="shared" si="34"/>
        <v>166.57</v>
      </c>
      <c r="K118" s="1353">
        <f t="shared" si="34"/>
        <v>166.57</v>
      </c>
      <c r="L118" s="1353">
        <f t="shared" si="34"/>
        <v>0</v>
      </c>
    </row>
    <row r="119" spans="1:12" s="987" customFormat="1" ht="33.75">
      <c r="A119" s="985"/>
      <c r="B119" s="986"/>
      <c r="C119" s="988" t="s">
        <v>789</v>
      </c>
      <c r="D119" s="989" t="s">
        <v>790</v>
      </c>
      <c r="E119" s="990">
        <v>0</v>
      </c>
      <c r="F119" s="990">
        <f>G119-E119</f>
        <v>0</v>
      </c>
      <c r="G119" s="991">
        <v>0</v>
      </c>
      <c r="H119" s="1358">
        <v>0</v>
      </c>
      <c r="I119" s="1360">
        <v>0</v>
      </c>
      <c r="J119" s="1359">
        <v>0</v>
      </c>
      <c r="K119" s="1359">
        <v>0</v>
      </c>
      <c r="L119" s="1359">
        <v>0</v>
      </c>
    </row>
    <row r="120" spans="1:12" s="987" customFormat="1" ht="33.75">
      <c r="A120" s="985"/>
      <c r="B120" s="986"/>
      <c r="C120" s="988" t="s">
        <v>791</v>
      </c>
      <c r="D120" s="989" t="s">
        <v>792</v>
      </c>
      <c r="E120" s="990">
        <v>0</v>
      </c>
      <c r="F120" s="990">
        <f aca="true" t="shared" si="35" ref="F120:F129">G120-E120</f>
        <v>0</v>
      </c>
      <c r="G120" s="991">
        <v>0</v>
      </c>
      <c r="H120" s="1358">
        <v>0</v>
      </c>
      <c r="I120" s="1360">
        <v>0</v>
      </c>
      <c r="J120" s="1359">
        <v>0</v>
      </c>
      <c r="K120" s="1359">
        <v>0</v>
      </c>
      <c r="L120" s="1359">
        <v>0</v>
      </c>
    </row>
    <row r="121" spans="1:12" s="987" customFormat="1" ht="15">
      <c r="A121" s="985"/>
      <c r="B121" s="986"/>
      <c r="C121" s="988" t="s">
        <v>56</v>
      </c>
      <c r="D121" s="981" t="s">
        <v>57</v>
      </c>
      <c r="E121" s="990">
        <v>0</v>
      </c>
      <c r="F121" s="990">
        <f t="shared" si="35"/>
        <v>0</v>
      </c>
      <c r="G121" s="991">
        <v>0</v>
      </c>
      <c r="H121" s="1358">
        <v>15</v>
      </c>
      <c r="I121" s="1360">
        <v>0</v>
      </c>
      <c r="J121" s="1359">
        <v>0</v>
      </c>
      <c r="K121" s="1359">
        <v>0</v>
      </c>
      <c r="L121" s="1359">
        <v>0</v>
      </c>
    </row>
    <row r="122" spans="1:12" ht="12.75">
      <c r="A122" s="935"/>
      <c r="B122" s="935"/>
      <c r="C122" s="936" t="s">
        <v>58</v>
      </c>
      <c r="D122" s="937" t="s">
        <v>59</v>
      </c>
      <c r="E122" s="973">
        <v>60000</v>
      </c>
      <c r="F122" s="990">
        <f t="shared" si="35"/>
        <v>0</v>
      </c>
      <c r="G122" s="976">
        <v>60000</v>
      </c>
      <c r="H122" s="1357">
        <v>67261.78</v>
      </c>
      <c r="I122" s="1360">
        <f t="shared" si="27"/>
        <v>1.1210296666666666</v>
      </c>
      <c r="J122" s="941">
        <v>0</v>
      </c>
      <c r="K122" s="941">
        <v>0</v>
      </c>
      <c r="L122" s="941">
        <v>0</v>
      </c>
    </row>
    <row r="123" spans="1:12" ht="22.5">
      <c r="A123" s="935"/>
      <c r="B123" s="935"/>
      <c r="C123" s="936" t="s">
        <v>463</v>
      </c>
      <c r="D123" s="937" t="s">
        <v>464</v>
      </c>
      <c r="E123" s="973">
        <v>0</v>
      </c>
      <c r="F123" s="990">
        <f t="shared" si="35"/>
        <v>0</v>
      </c>
      <c r="G123" s="976">
        <v>0</v>
      </c>
      <c r="H123" s="1357">
        <v>1045.44</v>
      </c>
      <c r="I123" s="1360">
        <v>0</v>
      </c>
      <c r="J123" s="941">
        <v>0</v>
      </c>
      <c r="K123" s="941">
        <v>0</v>
      </c>
      <c r="L123" s="941">
        <v>0</v>
      </c>
    </row>
    <row r="124" spans="1:12" ht="12.75">
      <c r="A124" s="935"/>
      <c r="B124" s="935"/>
      <c r="C124" s="980" t="s">
        <v>60</v>
      </c>
      <c r="D124" s="981" t="s">
        <v>61</v>
      </c>
      <c r="E124" s="973">
        <v>0</v>
      </c>
      <c r="F124" s="990">
        <f t="shared" si="35"/>
        <v>13500</v>
      </c>
      <c r="G124" s="976">
        <v>13500</v>
      </c>
      <c r="H124" s="1357">
        <v>13611.61</v>
      </c>
      <c r="I124" s="1360">
        <f>H124/G124</f>
        <v>1.0082674074074074</v>
      </c>
      <c r="J124" s="941">
        <v>166.57</v>
      </c>
      <c r="K124" s="941">
        <v>166.57</v>
      </c>
      <c r="L124" s="941">
        <v>0</v>
      </c>
    </row>
    <row r="125" spans="1:12" ht="67.5">
      <c r="A125" s="935"/>
      <c r="B125" s="935"/>
      <c r="C125" s="936" t="s">
        <v>373</v>
      </c>
      <c r="D125" s="937" t="s">
        <v>374</v>
      </c>
      <c r="E125" s="973">
        <v>0</v>
      </c>
      <c r="F125" s="990">
        <f t="shared" si="35"/>
        <v>0</v>
      </c>
      <c r="G125" s="976">
        <v>0</v>
      </c>
      <c r="H125" s="1357">
        <v>0</v>
      </c>
      <c r="I125" s="1360">
        <v>0</v>
      </c>
      <c r="J125" s="941">
        <v>0</v>
      </c>
      <c r="K125" s="941">
        <v>0</v>
      </c>
      <c r="L125" s="941">
        <v>0</v>
      </c>
    </row>
    <row r="126" spans="1:12" ht="45">
      <c r="A126" s="935"/>
      <c r="B126" s="935"/>
      <c r="C126" s="936" t="s">
        <v>465</v>
      </c>
      <c r="D126" s="937" t="s">
        <v>466</v>
      </c>
      <c r="E126" s="973">
        <v>0</v>
      </c>
      <c r="F126" s="990">
        <f t="shared" si="35"/>
        <v>83531.5</v>
      </c>
      <c r="G126" s="976">
        <v>83531.5</v>
      </c>
      <c r="H126" s="1357">
        <v>83531.5</v>
      </c>
      <c r="I126" s="1360">
        <f t="shared" si="27"/>
        <v>1</v>
      </c>
      <c r="J126" s="941">
        <v>0</v>
      </c>
      <c r="K126" s="941">
        <v>0</v>
      </c>
      <c r="L126" s="941">
        <v>0</v>
      </c>
    </row>
    <row r="127" spans="1:12" ht="45">
      <c r="A127" s="935"/>
      <c r="B127" s="935"/>
      <c r="C127" s="936" t="s">
        <v>467</v>
      </c>
      <c r="D127" s="937" t="s">
        <v>468</v>
      </c>
      <c r="E127" s="973">
        <v>0</v>
      </c>
      <c r="F127" s="990">
        <f t="shared" si="35"/>
        <v>0</v>
      </c>
      <c r="G127" s="976">
        <v>0</v>
      </c>
      <c r="H127" s="1357">
        <v>0</v>
      </c>
      <c r="I127" s="1360">
        <v>0</v>
      </c>
      <c r="J127" s="941">
        <v>0</v>
      </c>
      <c r="K127" s="941">
        <v>0</v>
      </c>
      <c r="L127" s="941">
        <v>0</v>
      </c>
    </row>
    <row r="128" spans="1:12" ht="56.25">
      <c r="A128" s="935"/>
      <c r="B128" s="935"/>
      <c r="C128" s="936" t="s">
        <v>469</v>
      </c>
      <c r="D128" s="937" t="s">
        <v>470</v>
      </c>
      <c r="E128" s="973">
        <v>0</v>
      </c>
      <c r="F128" s="990">
        <f t="shared" si="35"/>
        <v>13713.57</v>
      </c>
      <c r="G128" s="976">
        <v>13713.57</v>
      </c>
      <c r="H128" s="1357">
        <v>13713.57</v>
      </c>
      <c r="I128" s="1360">
        <f t="shared" si="27"/>
        <v>1</v>
      </c>
      <c r="J128" s="941">
        <v>0</v>
      </c>
      <c r="K128" s="941">
        <v>0</v>
      </c>
      <c r="L128" s="941">
        <v>0</v>
      </c>
    </row>
    <row r="129" spans="1:12" ht="45">
      <c r="A129" s="935"/>
      <c r="B129" s="935"/>
      <c r="C129" s="936" t="s">
        <v>471</v>
      </c>
      <c r="D129" s="937" t="s">
        <v>468</v>
      </c>
      <c r="E129" s="973">
        <v>0</v>
      </c>
      <c r="F129" s="990">
        <f t="shared" si="35"/>
        <v>193244.76</v>
      </c>
      <c r="G129" s="976">
        <v>193244.76</v>
      </c>
      <c r="H129" s="1357">
        <v>193244.76</v>
      </c>
      <c r="I129" s="1360">
        <f t="shared" si="27"/>
        <v>1</v>
      </c>
      <c r="J129" s="941">
        <v>0</v>
      </c>
      <c r="K129" s="941">
        <v>0</v>
      </c>
      <c r="L129" s="941">
        <v>0</v>
      </c>
    </row>
    <row r="130" spans="1:12" ht="22.5">
      <c r="A130" s="932"/>
      <c r="B130" s="938" t="s">
        <v>472</v>
      </c>
      <c r="C130" s="933"/>
      <c r="D130" s="934" t="s">
        <v>473</v>
      </c>
      <c r="E130" s="972">
        <f>E131</f>
        <v>221554</v>
      </c>
      <c r="F130" s="972">
        <f aca="true" t="shared" si="36" ref="F130:L130">F131</f>
        <v>0</v>
      </c>
      <c r="G130" s="1253">
        <f t="shared" si="36"/>
        <v>221554</v>
      </c>
      <c r="H130" s="1369">
        <f t="shared" si="36"/>
        <v>221554</v>
      </c>
      <c r="I130" s="1361">
        <f t="shared" si="27"/>
        <v>1</v>
      </c>
      <c r="J130" s="1353">
        <f t="shared" si="36"/>
        <v>0</v>
      </c>
      <c r="K130" s="1353">
        <f t="shared" si="36"/>
        <v>0</v>
      </c>
      <c r="L130" s="1353">
        <f t="shared" si="36"/>
        <v>0</v>
      </c>
    </row>
    <row r="131" spans="1:12" ht="12.75">
      <c r="A131" s="935"/>
      <c r="B131" s="935"/>
      <c r="C131" s="936" t="s">
        <v>458</v>
      </c>
      <c r="D131" s="937" t="s">
        <v>459</v>
      </c>
      <c r="E131" s="973">
        <v>221554</v>
      </c>
      <c r="F131" s="973">
        <f>G131-E131</f>
        <v>0</v>
      </c>
      <c r="G131" s="976">
        <v>221554</v>
      </c>
      <c r="H131" s="1357">
        <v>221554</v>
      </c>
      <c r="I131" s="1360">
        <f t="shared" si="27"/>
        <v>1</v>
      </c>
      <c r="J131" s="941">
        <v>0</v>
      </c>
      <c r="K131" s="941">
        <v>0</v>
      </c>
      <c r="L131" s="941">
        <v>0</v>
      </c>
    </row>
    <row r="132" spans="1:12" ht="27.75" customHeight="1">
      <c r="A132" s="965" t="s">
        <v>177</v>
      </c>
      <c r="B132" s="965"/>
      <c r="C132" s="965"/>
      <c r="D132" s="1258" t="s">
        <v>30</v>
      </c>
      <c r="E132" s="1259">
        <f>E133+E140+E143+E152+E154+E157+E159+E150</f>
        <v>2187022.56</v>
      </c>
      <c r="F132" s="1259">
        <f>F133+F140+F143+F152+F154+F157+F159+F150</f>
        <v>-282417.95</v>
      </c>
      <c r="G132" s="1259">
        <f>G133+G140+G143+G152+G154+G157+G159+G150</f>
        <v>1904604.6099999999</v>
      </c>
      <c r="H132" s="1259">
        <f>H133+H140+H143+H152+H154+H157+H159+H150</f>
        <v>1793645.68</v>
      </c>
      <c r="I132" s="1388">
        <f>H132/G132</f>
        <v>0.9417417507983455</v>
      </c>
      <c r="J132" s="1259">
        <f>J133+J140+J143+J152+J154+J157+J159+J150</f>
        <v>1527.75</v>
      </c>
      <c r="K132" s="1259">
        <f>K133+K140+K143+K152+K154+K157+K159+K150</f>
        <v>1066.5</v>
      </c>
      <c r="L132" s="1259">
        <f>L133+L140+L143+L152+L154+L157+L159+L150</f>
        <v>0</v>
      </c>
    </row>
    <row r="133" spans="1:12" ht="15">
      <c r="A133" s="932"/>
      <c r="B133" s="938" t="s">
        <v>178</v>
      </c>
      <c r="C133" s="933"/>
      <c r="D133" s="934" t="s">
        <v>73</v>
      </c>
      <c r="E133" s="972">
        <f>E135+E136+E137+E138+E134+E139</f>
        <v>383400</v>
      </c>
      <c r="F133" s="972">
        <f>F135+F136+F137+F138+F134+F139</f>
        <v>-67890.78</v>
      </c>
      <c r="G133" s="972">
        <f>G135+G136+G137+G138+G134+G139</f>
        <v>315509.22</v>
      </c>
      <c r="H133" s="972">
        <f>H135+H136+H137+H138+H134+H139</f>
        <v>316950.98</v>
      </c>
      <c r="I133" s="1361">
        <f t="shared" si="27"/>
        <v>1.0045696287417527</v>
      </c>
      <c r="J133" s="1367">
        <f>J135+J136+J137+J138+J134+J139</f>
        <v>1527.75</v>
      </c>
      <c r="K133" s="1367">
        <f>K135+K136+K137+K138+K134+K139</f>
        <v>1066.5</v>
      </c>
      <c r="L133" s="1367">
        <f>L135+L136+L137+L138+L134+L139</f>
        <v>0</v>
      </c>
    </row>
    <row r="134" spans="1:12" s="987" customFormat="1" ht="33.75">
      <c r="A134" s="985"/>
      <c r="B134" s="986"/>
      <c r="C134" s="1370" t="s">
        <v>402</v>
      </c>
      <c r="D134" s="937" t="s">
        <v>403</v>
      </c>
      <c r="E134" s="990">
        <v>0</v>
      </c>
      <c r="F134" s="990">
        <v>0</v>
      </c>
      <c r="G134" s="991">
        <v>0</v>
      </c>
      <c r="H134" s="1366">
        <v>800</v>
      </c>
      <c r="I134" s="1360">
        <v>0</v>
      </c>
      <c r="J134" s="1368">
        <v>1066.5</v>
      </c>
      <c r="K134" s="1368">
        <v>1066.5</v>
      </c>
      <c r="L134" s="1368">
        <v>0</v>
      </c>
    </row>
    <row r="135" spans="1:12" ht="78.75">
      <c r="A135" s="935"/>
      <c r="B135" s="935"/>
      <c r="C135" s="936" t="s">
        <v>371</v>
      </c>
      <c r="D135" s="937" t="s">
        <v>372</v>
      </c>
      <c r="E135" s="973">
        <v>35000</v>
      </c>
      <c r="F135" s="973">
        <f>G135-E135</f>
        <v>3700</v>
      </c>
      <c r="G135" s="976">
        <v>38700</v>
      </c>
      <c r="H135" s="1357">
        <v>38315.5</v>
      </c>
      <c r="I135" s="1360">
        <f t="shared" si="27"/>
        <v>0.9900645994832041</v>
      </c>
      <c r="J135" s="941">
        <v>461.25</v>
      </c>
      <c r="K135" s="941">
        <v>0</v>
      </c>
      <c r="L135" s="941">
        <v>0</v>
      </c>
    </row>
    <row r="136" spans="1:12" ht="12.75">
      <c r="A136" s="935"/>
      <c r="B136" s="935"/>
      <c r="C136" s="936" t="s">
        <v>58</v>
      </c>
      <c r="D136" s="937" t="s">
        <v>59</v>
      </c>
      <c r="E136" s="973">
        <v>0</v>
      </c>
      <c r="F136" s="973">
        <f>G136-E136</f>
        <v>0</v>
      </c>
      <c r="G136" s="976" t="s">
        <v>370</v>
      </c>
      <c r="H136" s="1357">
        <v>0</v>
      </c>
      <c r="I136" s="1360">
        <v>0</v>
      </c>
      <c r="J136" s="941">
        <v>0</v>
      </c>
      <c r="K136" s="941">
        <v>0</v>
      </c>
      <c r="L136" s="941">
        <v>0</v>
      </c>
    </row>
    <row r="137" spans="1:12" ht="12.75">
      <c r="A137" s="935"/>
      <c r="B137" s="935"/>
      <c r="C137" s="936" t="s">
        <v>60</v>
      </c>
      <c r="D137" s="937" t="s">
        <v>61</v>
      </c>
      <c r="E137" s="973">
        <v>0</v>
      </c>
      <c r="F137" s="973">
        <f>G137-E137</f>
        <v>18343.22</v>
      </c>
      <c r="G137" s="976">
        <v>18343.22</v>
      </c>
      <c r="H137" s="1357">
        <v>19369.48</v>
      </c>
      <c r="I137" s="1360">
        <f t="shared" si="27"/>
        <v>1.0559476471415596</v>
      </c>
      <c r="J137" s="941">
        <v>0</v>
      </c>
      <c r="K137" s="941">
        <v>0</v>
      </c>
      <c r="L137" s="941">
        <v>0</v>
      </c>
    </row>
    <row r="138" spans="1:12" ht="45">
      <c r="A138" s="935"/>
      <c r="B138" s="935"/>
      <c r="C138" s="936" t="s">
        <v>465</v>
      </c>
      <c r="D138" s="937" t="s">
        <v>466</v>
      </c>
      <c r="E138" s="973">
        <v>0</v>
      </c>
      <c r="F138" s="973">
        <f>G138-E138</f>
        <v>0</v>
      </c>
      <c r="G138" s="976">
        <v>0</v>
      </c>
      <c r="H138" s="1357">
        <v>0</v>
      </c>
      <c r="I138" s="1360">
        <v>0</v>
      </c>
      <c r="J138" s="941">
        <v>0</v>
      </c>
      <c r="K138" s="941">
        <v>0</v>
      </c>
      <c r="L138" s="941">
        <v>0</v>
      </c>
    </row>
    <row r="139" spans="1:12" ht="56.25">
      <c r="A139" s="935"/>
      <c r="B139" s="935"/>
      <c r="C139" s="984" t="s">
        <v>534</v>
      </c>
      <c r="D139" s="981" t="s">
        <v>855</v>
      </c>
      <c r="E139" s="973">
        <v>348400</v>
      </c>
      <c r="F139" s="973">
        <f>G139-E139</f>
        <v>-89934</v>
      </c>
      <c r="G139" s="976">
        <v>258466</v>
      </c>
      <c r="H139" s="1363">
        <v>258466</v>
      </c>
      <c r="I139" s="1360">
        <f>H139/G139</f>
        <v>1</v>
      </c>
      <c r="J139" s="941">
        <v>0</v>
      </c>
      <c r="K139" s="941">
        <v>0</v>
      </c>
      <c r="L139" s="941">
        <v>0</v>
      </c>
    </row>
    <row r="140" spans="1:12" ht="22.5">
      <c r="A140" s="932"/>
      <c r="B140" s="938" t="s">
        <v>474</v>
      </c>
      <c r="C140" s="933"/>
      <c r="D140" s="934" t="s">
        <v>475</v>
      </c>
      <c r="E140" s="972">
        <f>E141+E142</f>
        <v>106628</v>
      </c>
      <c r="F140" s="972">
        <f aca="true" t="shared" si="37" ref="F140:L140">F141+F142</f>
        <v>0</v>
      </c>
      <c r="G140" s="1253">
        <f t="shared" si="37"/>
        <v>106628</v>
      </c>
      <c r="H140" s="1352">
        <f t="shared" si="37"/>
        <v>99613</v>
      </c>
      <c r="I140" s="1361">
        <f t="shared" si="27"/>
        <v>0.9342105263157895</v>
      </c>
      <c r="J140" s="1365">
        <f t="shared" si="37"/>
        <v>0</v>
      </c>
      <c r="K140" s="1365">
        <f t="shared" si="37"/>
        <v>0</v>
      </c>
      <c r="L140" s="1365">
        <f t="shared" si="37"/>
        <v>0</v>
      </c>
    </row>
    <row r="141" spans="1:12" ht="12.75">
      <c r="A141" s="935"/>
      <c r="B141" s="935"/>
      <c r="C141" s="936" t="s">
        <v>56</v>
      </c>
      <c r="D141" s="937" t="s">
        <v>57</v>
      </c>
      <c r="E141" s="973">
        <v>0</v>
      </c>
      <c r="F141" s="973">
        <f>G141-E141</f>
        <v>0</v>
      </c>
      <c r="G141" s="976" t="s">
        <v>370</v>
      </c>
      <c r="H141" s="1357">
        <v>0</v>
      </c>
      <c r="I141" s="1360">
        <v>0</v>
      </c>
      <c r="J141" s="941">
        <v>0</v>
      </c>
      <c r="K141" s="941">
        <v>0</v>
      </c>
      <c r="L141" s="941">
        <v>0</v>
      </c>
    </row>
    <row r="142" spans="1:12" ht="45">
      <c r="A142" s="935"/>
      <c r="B142" s="935"/>
      <c r="C142" s="936" t="s">
        <v>465</v>
      </c>
      <c r="D142" s="937" t="s">
        <v>466</v>
      </c>
      <c r="E142" s="973">
        <v>106628</v>
      </c>
      <c r="F142" s="973">
        <f>G142-E142</f>
        <v>0</v>
      </c>
      <c r="G142" s="976">
        <v>106628</v>
      </c>
      <c r="H142" s="1357">
        <v>99613</v>
      </c>
      <c r="I142" s="1360">
        <f t="shared" si="27"/>
        <v>0.9342105263157895</v>
      </c>
      <c r="J142" s="941">
        <v>0</v>
      </c>
      <c r="K142" s="941">
        <v>0</v>
      </c>
      <c r="L142" s="941">
        <v>0</v>
      </c>
    </row>
    <row r="143" spans="1:12" ht="15">
      <c r="A143" s="932"/>
      <c r="B143" s="938" t="s">
        <v>327</v>
      </c>
      <c r="C143" s="933"/>
      <c r="D143" s="934" t="s">
        <v>476</v>
      </c>
      <c r="E143" s="972">
        <f>E144+E145+E146+E147+E148+E149</f>
        <v>1066045</v>
      </c>
      <c r="F143" s="972">
        <f aca="true" t="shared" si="38" ref="F143:L143">F144+F145+F146+F147+F148+F149</f>
        <v>-67700</v>
      </c>
      <c r="G143" s="1253">
        <f t="shared" si="38"/>
        <v>998345</v>
      </c>
      <c r="H143" s="1352">
        <f t="shared" si="38"/>
        <v>997578.1200000001</v>
      </c>
      <c r="I143" s="1361">
        <f t="shared" si="27"/>
        <v>0.9992318487096146</v>
      </c>
      <c r="J143" s="1353">
        <f t="shared" si="38"/>
        <v>0</v>
      </c>
      <c r="K143" s="1353">
        <f t="shared" si="38"/>
        <v>0</v>
      </c>
      <c r="L143" s="1353">
        <f t="shared" si="38"/>
        <v>0</v>
      </c>
    </row>
    <row r="144" spans="1:12" ht="22.5">
      <c r="A144" s="935"/>
      <c r="B144" s="935"/>
      <c r="C144" s="936" t="s">
        <v>477</v>
      </c>
      <c r="D144" s="937" t="s">
        <v>478</v>
      </c>
      <c r="E144" s="973">
        <v>95260</v>
      </c>
      <c r="F144" s="973">
        <f aca="true" t="shared" si="39" ref="F144:F149">G144-E144</f>
        <v>0</v>
      </c>
      <c r="G144" s="976">
        <v>95260</v>
      </c>
      <c r="H144" s="1357">
        <v>90691</v>
      </c>
      <c r="I144" s="1360">
        <f t="shared" si="27"/>
        <v>0.9520365315977325</v>
      </c>
      <c r="J144" s="941">
        <v>0</v>
      </c>
      <c r="K144" s="941">
        <v>0</v>
      </c>
      <c r="L144" s="941">
        <v>0</v>
      </c>
    </row>
    <row r="145" spans="1:12" ht="45">
      <c r="A145" s="935"/>
      <c r="B145" s="935"/>
      <c r="C145" s="936" t="s">
        <v>479</v>
      </c>
      <c r="D145" s="937" t="s">
        <v>480</v>
      </c>
      <c r="E145" s="973">
        <v>434430</v>
      </c>
      <c r="F145" s="973">
        <f t="shared" si="39"/>
        <v>-64000</v>
      </c>
      <c r="G145" s="976">
        <v>370430</v>
      </c>
      <c r="H145" s="1357">
        <v>367621.5</v>
      </c>
      <c r="I145" s="1360">
        <f t="shared" si="27"/>
        <v>0.992418270658424</v>
      </c>
      <c r="J145" s="941">
        <v>0</v>
      </c>
      <c r="K145" s="941">
        <v>0</v>
      </c>
      <c r="L145" s="941">
        <v>0</v>
      </c>
    </row>
    <row r="146" spans="1:12" ht="78.75">
      <c r="A146" s="935"/>
      <c r="B146" s="935"/>
      <c r="C146" s="936" t="s">
        <v>371</v>
      </c>
      <c r="D146" s="937" t="s">
        <v>372</v>
      </c>
      <c r="E146" s="973">
        <v>8290</v>
      </c>
      <c r="F146" s="973">
        <f t="shared" si="39"/>
        <v>-3700</v>
      </c>
      <c r="G146" s="976">
        <v>4590</v>
      </c>
      <c r="H146" s="1357">
        <v>5013.94</v>
      </c>
      <c r="I146" s="1360">
        <f t="shared" si="27"/>
        <v>1.0923616557734204</v>
      </c>
      <c r="J146" s="941">
        <v>0</v>
      </c>
      <c r="K146" s="941">
        <v>0</v>
      </c>
      <c r="L146" s="941">
        <v>0</v>
      </c>
    </row>
    <row r="147" spans="1:12" ht="12.75">
      <c r="A147" s="935"/>
      <c r="B147" s="935"/>
      <c r="C147" s="936" t="s">
        <v>60</v>
      </c>
      <c r="D147" s="937" t="s">
        <v>61</v>
      </c>
      <c r="E147" s="973">
        <v>0</v>
      </c>
      <c r="F147" s="973">
        <f t="shared" si="39"/>
        <v>0</v>
      </c>
      <c r="G147" s="976">
        <v>0</v>
      </c>
      <c r="H147" s="1357">
        <v>2772.63</v>
      </c>
      <c r="I147" s="1360">
        <v>0</v>
      </c>
      <c r="J147" s="941">
        <v>0</v>
      </c>
      <c r="K147" s="941">
        <v>0</v>
      </c>
      <c r="L147" s="941">
        <v>0</v>
      </c>
    </row>
    <row r="148" spans="1:12" ht="45">
      <c r="A148" s="935"/>
      <c r="B148" s="935"/>
      <c r="C148" s="936" t="s">
        <v>465</v>
      </c>
      <c r="D148" s="937" t="s">
        <v>466</v>
      </c>
      <c r="E148" s="973">
        <v>498065</v>
      </c>
      <c r="F148" s="973">
        <f t="shared" si="39"/>
        <v>0</v>
      </c>
      <c r="G148" s="976">
        <v>498065</v>
      </c>
      <c r="H148" s="1357">
        <v>498065</v>
      </c>
      <c r="I148" s="1360">
        <f t="shared" si="27"/>
        <v>1</v>
      </c>
      <c r="J148" s="941">
        <v>0</v>
      </c>
      <c r="K148" s="941">
        <v>0</v>
      </c>
      <c r="L148" s="941">
        <v>0</v>
      </c>
    </row>
    <row r="149" spans="1:12" ht="45">
      <c r="A149" s="935"/>
      <c r="B149" s="935"/>
      <c r="C149" s="936" t="s">
        <v>481</v>
      </c>
      <c r="D149" s="937" t="s">
        <v>318</v>
      </c>
      <c r="E149" s="1378">
        <v>30000</v>
      </c>
      <c r="F149" s="1378">
        <f t="shared" si="39"/>
        <v>0</v>
      </c>
      <c r="G149" s="976">
        <v>30000</v>
      </c>
      <c r="H149" s="1357">
        <v>33414.05</v>
      </c>
      <c r="I149" s="1360">
        <f t="shared" si="27"/>
        <v>1.1138016666666668</v>
      </c>
      <c r="J149" s="941">
        <v>0</v>
      </c>
      <c r="K149" s="941">
        <v>0</v>
      </c>
      <c r="L149" s="941">
        <v>0</v>
      </c>
    </row>
    <row r="150" spans="1:12" ht="12.75">
      <c r="A150" s="1371"/>
      <c r="B150" s="1374" t="s">
        <v>639</v>
      </c>
      <c r="C150" s="1375"/>
      <c r="D150" s="1376" t="s">
        <v>244</v>
      </c>
      <c r="E150" s="1386">
        <f>E151</f>
        <v>0</v>
      </c>
      <c r="F150" s="1386">
        <f>F151</f>
        <v>9848.44</v>
      </c>
      <c r="G150" s="1377">
        <f>G151</f>
        <v>9848.44</v>
      </c>
      <c r="H150" s="1389">
        <f>H151</f>
        <v>9848.44</v>
      </c>
      <c r="I150" s="1361">
        <v>0</v>
      </c>
      <c r="J150" s="1387">
        <f>J151</f>
        <v>0</v>
      </c>
      <c r="K150" s="1387">
        <f>K151</f>
        <v>0</v>
      </c>
      <c r="L150" s="1387">
        <f>L151</f>
        <v>0</v>
      </c>
    </row>
    <row r="151" spans="1:12" ht="67.5">
      <c r="A151" s="935"/>
      <c r="B151" s="935"/>
      <c r="C151" s="1373" t="s">
        <v>497</v>
      </c>
      <c r="D151" s="937" t="s">
        <v>498</v>
      </c>
      <c r="E151" s="1383">
        <v>0</v>
      </c>
      <c r="F151" s="1383">
        <f>G151-E151</f>
        <v>9848.44</v>
      </c>
      <c r="G151" s="1384">
        <v>9848.44</v>
      </c>
      <c r="H151" s="1363">
        <v>9848.44</v>
      </c>
      <c r="I151" s="1385">
        <f>H151/G151</f>
        <v>1</v>
      </c>
      <c r="J151" s="941">
        <v>0</v>
      </c>
      <c r="K151" s="941">
        <v>0</v>
      </c>
      <c r="L151" s="941">
        <v>0</v>
      </c>
    </row>
    <row r="152" spans="1:12" ht="15">
      <c r="A152" s="935"/>
      <c r="B152" s="992" t="s">
        <v>642</v>
      </c>
      <c r="C152" s="933"/>
      <c r="D152" s="983" t="s">
        <v>643</v>
      </c>
      <c r="E152" s="972">
        <f>E153</f>
        <v>0</v>
      </c>
      <c r="F152" s="972">
        <f aca="true" t="shared" si="40" ref="F152:L152">F153</f>
        <v>0</v>
      </c>
      <c r="G152" s="1253">
        <f t="shared" si="40"/>
        <v>0</v>
      </c>
      <c r="H152" s="1352">
        <f t="shared" si="40"/>
        <v>14365.83</v>
      </c>
      <c r="I152" s="1361">
        <v>0</v>
      </c>
      <c r="J152" s="1353">
        <f t="shared" si="40"/>
        <v>0</v>
      </c>
      <c r="K152" s="1353">
        <f t="shared" si="40"/>
        <v>0</v>
      </c>
      <c r="L152" s="1353">
        <f t="shared" si="40"/>
        <v>0</v>
      </c>
    </row>
    <row r="153" spans="1:12" ht="33.75">
      <c r="A153" s="935"/>
      <c r="B153" s="1447"/>
      <c r="C153" s="1448" t="s">
        <v>789</v>
      </c>
      <c r="D153" s="1449" t="s">
        <v>790</v>
      </c>
      <c r="E153" s="1450">
        <v>0</v>
      </c>
      <c r="F153" s="1450">
        <f>G153-E153</f>
        <v>0</v>
      </c>
      <c r="G153" s="1451">
        <v>0</v>
      </c>
      <c r="H153" s="1357">
        <v>14365.83</v>
      </c>
      <c r="I153" s="1360">
        <v>0</v>
      </c>
      <c r="J153" s="941">
        <v>0</v>
      </c>
      <c r="K153" s="941">
        <v>0</v>
      </c>
      <c r="L153" s="941">
        <v>0</v>
      </c>
    </row>
    <row r="154" spans="1:12" ht="15">
      <c r="A154" s="932"/>
      <c r="B154" s="1441" t="s">
        <v>183</v>
      </c>
      <c r="C154" s="1442"/>
      <c r="D154" s="1443" t="s">
        <v>482</v>
      </c>
      <c r="E154" s="1444">
        <f>E155+E156</f>
        <v>280000</v>
      </c>
      <c r="F154" s="1444">
        <f aca="true" t="shared" si="41" ref="F154:L154">F155+F156</f>
        <v>-25000</v>
      </c>
      <c r="G154" s="1445">
        <f t="shared" si="41"/>
        <v>255000</v>
      </c>
      <c r="H154" s="1446">
        <f t="shared" si="41"/>
        <v>234287.4</v>
      </c>
      <c r="I154" s="1392">
        <f t="shared" si="27"/>
        <v>0.9187741176470589</v>
      </c>
      <c r="J154" s="1365">
        <f t="shared" si="41"/>
        <v>0</v>
      </c>
      <c r="K154" s="1365">
        <f t="shared" si="41"/>
        <v>0</v>
      </c>
      <c r="L154" s="1365">
        <f t="shared" si="41"/>
        <v>0</v>
      </c>
    </row>
    <row r="155" spans="1:12" ht="12.75">
      <c r="A155" s="935"/>
      <c r="B155" s="935"/>
      <c r="C155" s="936" t="s">
        <v>56</v>
      </c>
      <c r="D155" s="937" t="s">
        <v>57</v>
      </c>
      <c r="E155" s="973">
        <v>262000</v>
      </c>
      <c r="F155" s="973">
        <f>G155-E155</f>
        <v>-25000</v>
      </c>
      <c r="G155" s="976">
        <v>237000</v>
      </c>
      <c r="H155" s="1357">
        <v>216287.4</v>
      </c>
      <c r="I155" s="1360">
        <f t="shared" si="27"/>
        <v>0.9126050632911392</v>
      </c>
      <c r="J155" s="941">
        <v>0</v>
      </c>
      <c r="K155" s="941">
        <v>0</v>
      </c>
      <c r="L155" s="941">
        <v>0</v>
      </c>
    </row>
    <row r="156" spans="1:12" ht="67.5">
      <c r="A156" s="935"/>
      <c r="B156" s="935"/>
      <c r="C156" s="936" t="s">
        <v>483</v>
      </c>
      <c r="D156" s="937" t="s">
        <v>484</v>
      </c>
      <c r="E156" s="973">
        <v>18000</v>
      </c>
      <c r="F156" s="973">
        <f>G156-E156</f>
        <v>0</v>
      </c>
      <c r="G156" s="976" t="s">
        <v>485</v>
      </c>
      <c r="H156" s="1357">
        <v>18000</v>
      </c>
      <c r="I156" s="1360">
        <f t="shared" si="27"/>
        <v>1</v>
      </c>
      <c r="J156" s="941">
        <v>0</v>
      </c>
      <c r="K156" s="941">
        <v>0</v>
      </c>
      <c r="L156" s="941">
        <v>0</v>
      </c>
    </row>
    <row r="157" spans="1:12" ht="45">
      <c r="A157" s="932"/>
      <c r="B157" s="938" t="s">
        <v>486</v>
      </c>
      <c r="C157" s="933"/>
      <c r="D157" s="934" t="s">
        <v>31</v>
      </c>
      <c r="E157" s="972">
        <f>E158</f>
        <v>0</v>
      </c>
      <c r="F157" s="972">
        <f aca="true" t="shared" si="42" ref="F157:L157">F158</f>
        <v>146643.81</v>
      </c>
      <c r="G157" s="1253">
        <f t="shared" si="42"/>
        <v>146643.81</v>
      </c>
      <c r="H157" s="1352">
        <f t="shared" si="42"/>
        <v>144605.9</v>
      </c>
      <c r="I157" s="1361">
        <f t="shared" si="27"/>
        <v>0.9861029933687621</v>
      </c>
      <c r="J157" s="1353">
        <f t="shared" si="42"/>
        <v>0</v>
      </c>
      <c r="K157" s="1353">
        <f t="shared" si="42"/>
        <v>0</v>
      </c>
      <c r="L157" s="1353">
        <f t="shared" si="42"/>
        <v>0</v>
      </c>
    </row>
    <row r="158" spans="1:12" ht="67.5">
      <c r="A158" s="935"/>
      <c r="B158" s="935"/>
      <c r="C158" s="936" t="s">
        <v>373</v>
      </c>
      <c r="D158" s="937" t="s">
        <v>374</v>
      </c>
      <c r="E158" s="973">
        <v>0</v>
      </c>
      <c r="F158" s="973">
        <f>G158-E158</f>
        <v>146643.81</v>
      </c>
      <c r="G158" s="976">
        <v>146643.81</v>
      </c>
      <c r="H158" s="1357">
        <v>144605.9</v>
      </c>
      <c r="I158" s="1360">
        <f aca="true" t="shared" si="43" ref="I158:I229">H158/G158</f>
        <v>0.9861029933687621</v>
      </c>
      <c r="J158" s="941">
        <v>0</v>
      </c>
      <c r="K158" s="941">
        <v>0</v>
      </c>
      <c r="L158" s="941">
        <v>0</v>
      </c>
    </row>
    <row r="159" spans="1:12" ht="15">
      <c r="A159" s="932"/>
      <c r="B159" s="938" t="s">
        <v>328</v>
      </c>
      <c r="C159" s="933"/>
      <c r="D159" s="934" t="s">
        <v>10</v>
      </c>
      <c r="E159" s="972">
        <f>E160+E161+E162+E163+E164+E165+E166</f>
        <v>350949.56</v>
      </c>
      <c r="F159" s="972">
        <f>F160+F161+F162+F163+F164+F165+F166</f>
        <v>-278319.42000000004</v>
      </c>
      <c r="G159" s="972">
        <f>G160+G161+G162+G163+G164+G165+G166</f>
        <v>72630.14</v>
      </c>
      <c r="H159" s="972">
        <f>H160+H161+H162+H163+H164+H165+H166</f>
        <v>-23603.989999999998</v>
      </c>
      <c r="I159" s="1361">
        <f t="shared" si="43"/>
        <v>-0.32498890956288945</v>
      </c>
      <c r="J159" s="1353">
        <f>J160+J161+J162+J163+J164+J165+J166</f>
        <v>0</v>
      </c>
      <c r="K159" s="1353">
        <f>K160+K161+K162+K163+K164+K165+K166</f>
        <v>0</v>
      </c>
      <c r="L159" s="1353">
        <f>L160+L161+L162+L163+L164+L165+L166</f>
        <v>0</v>
      </c>
    </row>
    <row r="160" spans="1:12" s="1246" customFormat="1" ht="22.5">
      <c r="A160" s="1245"/>
      <c r="B160" s="1245"/>
      <c r="C160" s="988" t="s">
        <v>463</v>
      </c>
      <c r="D160" s="937" t="s">
        <v>464</v>
      </c>
      <c r="E160" s="990">
        <v>0</v>
      </c>
      <c r="F160" s="990">
        <f aca="true" t="shared" si="44" ref="F160:F166">G160-E160</f>
        <v>0</v>
      </c>
      <c r="G160" s="991">
        <v>0</v>
      </c>
      <c r="H160" s="1358">
        <v>16033.98</v>
      </c>
      <c r="I160" s="1360">
        <v>0</v>
      </c>
      <c r="J160" s="1359">
        <v>0</v>
      </c>
      <c r="K160" s="1359">
        <v>0</v>
      </c>
      <c r="L160" s="1359">
        <v>0</v>
      </c>
    </row>
    <row r="161" spans="1:12" ht="90">
      <c r="A161" s="935"/>
      <c r="B161" s="935"/>
      <c r="C161" s="936" t="s">
        <v>487</v>
      </c>
      <c r="D161" s="1482" t="s">
        <v>488</v>
      </c>
      <c r="E161" s="973">
        <v>6883.97</v>
      </c>
      <c r="F161" s="990">
        <f t="shared" si="44"/>
        <v>-6883.97</v>
      </c>
      <c r="G161" s="976">
        <v>0</v>
      </c>
      <c r="H161" s="1357">
        <v>-8081.89</v>
      </c>
      <c r="I161" s="1360">
        <v>0</v>
      </c>
      <c r="J161" s="941">
        <v>0</v>
      </c>
      <c r="K161" s="941">
        <v>0</v>
      </c>
      <c r="L161" s="941">
        <v>0</v>
      </c>
    </row>
    <row r="162" spans="1:12" ht="90">
      <c r="A162" s="935"/>
      <c r="B162" s="935"/>
      <c r="C162" s="936" t="s">
        <v>489</v>
      </c>
      <c r="D162" s="1482" t="s">
        <v>488</v>
      </c>
      <c r="E162" s="973">
        <v>808.25</v>
      </c>
      <c r="F162" s="990">
        <f t="shared" si="44"/>
        <v>11719.38</v>
      </c>
      <c r="G162" s="976">
        <v>12527.63</v>
      </c>
      <c r="H162" s="1357">
        <v>-7317.67</v>
      </c>
      <c r="I162" s="1360">
        <v>0</v>
      </c>
      <c r="J162" s="941">
        <v>0</v>
      </c>
      <c r="K162" s="941">
        <v>0</v>
      </c>
      <c r="L162" s="941">
        <v>0</v>
      </c>
    </row>
    <row r="163" spans="1:12" ht="90">
      <c r="A163" s="935"/>
      <c r="B163" s="935"/>
      <c r="C163" s="936" t="s">
        <v>490</v>
      </c>
      <c r="D163" s="1482" t="s">
        <v>491</v>
      </c>
      <c r="E163" s="973">
        <v>339190.82</v>
      </c>
      <c r="F163" s="990">
        <f t="shared" si="44"/>
        <v>-339190.82</v>
      </c>
      <c r="G163" s="976">
        <v>0</v>
      </c>
      <c r="H163" s="1357">
        <v>-75120.95</v>
      </c>
      <c r="I163" s="1360">
        <v>0</v>
      </c>
      <c r="J163" s="941">
        <v>0</v>
      </c>
      <c r="K163" s="941">
        <v>0</v>
      </c>
      <c r="L163" s="941">
        <v>0</v>
      </c>
    </row>
    <row r="164" spans="1:12" ht="90">
      <c r="A164" s="935"/>
      <c r="B164" s="935"/>
      <c r="C164" s="936" t="s">
        <v>492</v>
      </c>
      <c r="D164" s="1482" t="s">
        <v>491</v>
      </c>
      <c r="E164" s="973">
        <v>4066.52</v>
      </c>
      <c r="F164" s="990">
        <f t="shared" si="44"/>
        <v>47525.58</v>
      </c>
      <c r="G164" s="976">
        <v>51592.1</v>
      </c>
      <c r="H164" s="1357">
        <v>42372.13</v>
      </c>
      <c r="I164" s="1360">
        <f t="shared" si="43"/>
        <v>0.8212910503739913</v>
      </c>
      <c r="J164" s="941">
        <v>0</v>
      </c>
      <c r="K164" s="941">
        <v>0</v>
      </c>
      <c r="L164" s="941">
        <v>0</v>
      </c>
    </row>
    <row r="165" spans="1:12" ht="33.75">
      <c r="A165" s="935"/>
      <c r="B165" s="935"/>
      <c r="C165" s="984" t="s">
        <v>856</v>
      </c>
      <c r="D165" s="1483" t="s">
        <v>857</v>
      </c>
      <c r="E165" s="973">
        <v>0</v>
      </c>
      <c r="F165" s="990">
        <f t="shared" si="44"/>
        <v>1192.74</v>
      </c>
      <c r="G165" s="976">
        <v>1192.74</v>
      </c>
      <c r="H165" s="1357">
        <v>1192.74</v>
      </c>
      <c r="I165" s="1360">
        <v>0</v>
      </c>
      <c r="J165" s="941">
        <v>0</v>
      </c>
      <c r="K165" s="941">
        <v>0</v>
      </c>
      <c r="L165" s="941">
        <v>0</v>
      </c>
    </row>
    <row r="166" spans="1:12" ht="33.75">
      <c r="A166" s="935"/>
      <c r="B166" s="935"/>
      <c r="C166" s="984" t="s">
        <v>858</v>
      </c>
      <c r="D166" s="1483" t="s">
        <v>857</v>
      </c>
      <c r="E166" s="973">
        <v>0</v>
      </c>
      <c r="F166" s="990">
        <f t="shared" si="44"/>
        <v>7317.67</v>
      </c>
      <c r="G166" s="976">
        <v>7317.67</v>
      </c>
      <c r="H166" s="1363">
        <v>7317.67</v>
      </c>
      <c r="I166" s="1360">
        <f>H166/G166</f>
        <v>1</v>
      </c>
      <c r="J166" s="941">
        <v>0</v>
      </c>
      <c r="K166" s="942">
        <v>0</v>
      </c>
      <c r="L166" s="941">
        <v>0</v>
      </c>
    </row>
    <row r="167" spans="1:12" ht="12.75">
      <c r="A167" s="965" t="s">
        <v>186</v>
      </c>
      <c r="B167" s="965"/>
      <c r="C167" s="965"/>
      <c r="D167" s="1258" t="s">
        <v>247</v>
      </c>
      <c r="E167" s="1259">
        <f>E168</f>
        <v>0</v>
      </c>
      <c r="F167" s="1259">
        <f aca="true" t="shared" si="45" ref="F167:L167">F168</f>
        <v>0</v>
      </c>
      <c r="G167" s="1260">
        <f t="shared" si="45"/>
        <v>0</v>
      </c>
      <c r="H167" s="1354">
        <f t="shared" si="45"/>
        <v>0</v>
      </c>
      <c r="I167" s="1459">
        <v>0</v>
      </c>
      <c r="J167" s="1472">
        <f t="shared" si="45"/>
        <v>0</v>
      </c>
      <c r="K167" s="1355">
        <f t="shared" si="45"/>
        <v>0</v>
      </c>
      <c r="L167" s="1472">
        <f t="shared" si="45"/>
        <v>0</v>
      </c>
    </row>
    <row r="168" spans="1:12" ht="15">
      <c r="A168" s="932"/>
      <c r="B168" s="992" t="s">
        <v>672</v>
      </c>
      <c r="C168" s="933"/>
      <c r="D168" s="983" t="s">
        <v>248</v>
      </c>
      <c r="E168" s="972">
        <f>E169</f>
        <v>0</v>
      </c>
      <c r="F168" s="972">
        <f aca="true" t="shared" si="46" ref="F168:L168">F169</f>
        <v>0</v>
      </c>
      <c r="G168" s="1253">
        <f t="shared" si="46"/>
        <v>0</v>
      </c>
      <c r="H168" s="1352">
        <f t="shared" si="46"/>
        <v>0</v>
      </c>
      <c r="I168" s="1361">
        <v>0</v>
      </c>
      <c r="J168" s="1353">
        <f t="shared" si="46"/>
        <v>0</v>
      </c>
      <c r="K168" s="1353">
        <f t="shared" si="46"/>
        <v>0</v>
      </c>
      <c r="L168" s="1353">
        <f t="shared" si="46"/>
        <v>0</v>
      </c>
    </row>
    <row r="169" spans="1:12" ht="67.5">
      <c r="A169" s="935"/>
      <c r="B169" s="935"/>
      <c r="C169" s="984" t="s">
        <v>497</v>
      </c>
      <c r="D169" s="937" t="s">
        <v>498</v>
      </c>
      <c r="E169" s="973">
        <v>0</v>
      </c>
      <c r="F169" s="973">
        <f>G169-E169</f>
        <v>0</v>
      </c>
      <c r="G169" s="976">
        <v>0</v>
      </c>
      <c r="H169" s="1357">
        <v>0</v>
      </c>
      <c r="I169" s="1360">
        <v>0</v>
      </c>
      <c r="J169" s="941">
        <v>0</v>
      </c>
      <c r="K169" s="941">
        <v>0</v>
      </c>
      <c r="L169" s="941">
        <v>0</v>
      </c>
    </row>
    <row r="170" spans="1:12" ht="29.25" customHeight="1">
      <c r="A170" s="965" t="s">
        <v>195</v>
      </c>
      <c r="B170" s="965"/>
      <c r="C170" s="965"/>
      <c r="D170" s="1258" t="s">
        <v>33</v>
      </c>
      <c r="E170" s="1259">
        <f>E173+E177+E182+E185+E187+E191+E194+E200+E171</f>
        <v>1491644</v>
      </c>
      <c r="F170" s="1259">
        <f>F173+F177+F182+F185+F187+F191+F194+F200</f>
        <v>807685.63</v>
      </c>
      <c r="G170" s="1260">
        <f>G173+G177+G182+G185+G187+G191+G194+G200</f>
        <v>2299329.63</v>
      </c>
      <c r="H170" s="1354">
        <f>H173+H177+H182+H185+H187+H191+H194+H200</f>
        <v>2268181.19</v>
      </c>
      <c r="I170" s="1459">
        <f t="shared" si="43"/>
        <v>0.986453251594031</v>
      </c>
      <c r="J170" s="1355">
        <f>J173+J177+J182+J185+J187+J191+J194+J200+J171</f>
        <v>20102.61</v>
      </c>
      <c r="K170" s="1355">
        <f>K173+K177+K182+K185+K187+K191+K194+K200+K171</f>
        <v>12552.08</v>
      </c>
      <c r="L170" s="1355">
        <f>L173+L177+L182+L185+L187+L191+L194+L200+L171</f>
        <v>0</v>
      </c>
    </row>
    <row r="171" spans="1:12" ht="20.25" customHeight="1">
      <c r="A171" s="1484"/>
      <c r="B171" s="992" t="s">
        <v>676</v>
      </c>
      <c r="C171" s="933"/>
      <c r="D171" s="1486" t="s">
        <v>677</v>
      </c>
      <c r="E171" s="1519">
        <f>E172</f>
        <v>0</v>
      </c>
      <c r="F171" s="1519">
        <f>F172</f>
        <v>0</v>
      </c>
      <c r="G171" s="1519">
        <f>G172</f>
        <v>0</v>
      </c>
      <c r="H171" s="1519">
        <f>H172</f>
        <v>0</v>
      </c>
      <c r="I171" s="933"/>
      <c r="J171" s="1519">
        <f>J172</f>
        <v>3695.93</v>
      </c>
      <c r="K171" s="1519">
        <f>K172</f>
        <v>3695.93</v>
      </c>
      <c r="L171" s="1519">
        <f>L172</f>
        <v>0</v>
      </c>
    </row>
    <row r="172" spans="1:12" ht="27.75" customHeight="1">
      <c r="A172" s="1484"/>
      <c r="B172" s="1485"/>
      <c r="C172" s="1487" t="s">
        <v>463</v>
      </c>
      <c r="D172" s="937" t="s">
        <v>464</v>
      </c>
      <c r="E172" s="1488">
        <v>0</v>
      </c>
      <c r="F172" s="1488"/>
      <c r="G172" s="1489">
        <v>0</v>
      </c>
      <c r="H172" s="1490">
        <v>0</v>
      </c>
      <c r="I172" s="1491">
        <v>0</v>
      </c>
      <c r="J172" s="1492">
        <v>3695.93</v>
      </c>
      <c r="K172" s="1492">
        <v>3695.93</v>
      </c>
      <c r="L172" s="1492">
        <v>0</v>
      </c>
    </row>
    <row r="173" spans="1:12" ht="15">
      <c r="A173" s="932"/>
      <c r="B173" s="992" t="s">
        <v>196</v>
      </c>
      <c r="C173" s="933"/>
      <c r="D173" s="934" t="s">
        <v>34</v>
      </c>
      <c r="E173" s="972">
        <f>E174+E175+E176</f>
        <v>630900</v>
      </c>
      <c r="F173" s="972">
        <f aca="true" t="shared" si="47" ref="F173:L173">F174+F175+F176</f>
        <v>70040.63</v>
      </c>
      <c r="G173" s="1253">
        <f t="shared" si="47"/>
        <v>700940.63</v>
      </c>
      <c r="H173" s="1352">
        <f t="shared" si="47"/>
        <v>685272.72</v>
      </c>
      <c r="I173" s="1361">
        <f t="shared" si="43"/>
        <v>0.9776473080180842</v>
      </c>
      <c r="J173" s="1353">
        <f t="shared" si="47"/>
        <v>33.66</v>
      </c>
      <c r="K173" s="1353">
        <f t="shared" si="47"/>
        <v>0</v>
      </c>
      <c r="L173" s="1353">
        <f t="shared" si="47"/>
        <v>0</v>
      </c>
    </row>
    <row r="174" spans="1:12" ht="67.5">
      <c r="A174" s="935"/>
      <c r="B174" s="935"/>
      <c r="C174" s="936" t="s">
        <v>373</v>
      </c>
      <c r="D174" s="937" t="s">
        <v>374</v>
      </c>
      <c r="E174" s="973">
        <v>630900</v>
      </c>
      <c r="F174" s="973">
        <f>G174-E174</f>
        <v>-94959.37</v>
      </c>
      <c r="G174" s="976">
        <v>535940.63</v>
      </c>
      <c r="H174" s="1357">
        <v>519926.9</v>
      </c>
      <c r="I174" s="1360">
        <v>0</v>
      </c>
      <c r="J174" s="941">
        <v>0</v>
      </c>
      <c r="K174" s="941">
        <v>0</v>
      </c>
      <c r="L174" s="941">
        <v>0</v>
      </c>
    </row>
    <row r="175" spans="1:12" ht="45">
      <c r="A175" s="935"/>
      <c r="B175" s="935"/>
      <c r="C175" s="984" t="s">
        <v>505</v>
      </c>
      <c r="D175" s="937" t="s">
        <v>506</v>
      </c>
      <c r="E175" s="973">
        <v>0</v>
      </c>
      <c r="F175" s="973">
        <f>G175-E175</f>
        <v>0</v>
      </c>
      <c r="G175" s="976">
        <v>0</v>
      </c>
      <c r="H175" s="1357">
        <v>345.83</v>
      </c>
      <c r="I175" s="1360">
        <v>0</v>
      </c>
      <c r="J175" s="941">
        <v>33.66</v>
      </c>
      <c r="K175" s="941">
        <v>0</v>
      </c>
      <c r="L175" s="941">
        <v>0</v>
      </c>
    </row>
    <row r="176" spans="1:12" ht="56.25">
      <c r="A176" s="935"/>
      <c r="B176" s="935"/>
      <c r="C176" s="936" t="s">
        <v>493</v>
      </c>
      <c r="D176" s="937" t="s">
        <v>494</v>
      </c>
      <c r="E176" s="973">
        <v>0</v>
      </c>
      <c r="F176" s="973">
        <f>G176-E176</f>
        <v>165000</v>
      </c>
      <c r="G176" s="976">
        <v>165000</v>
      </c>
      <c r="H176" s="1357">
        <v>164999.99</v>
      </c>
      <c r="I176" s="1360">
        <v>0</v>
      </c>
      <c r="J176" s="941">
        <v>0</v>
      </c>
      <c r="K176" s="941">
        <v>0</v>
      </c>
      <c r="L176" s="941">
        <v>0</v>
      </c>
    </row>
    <row r="177" spans="1:12" ht="67.5">
      <c r="A177" s="932"/>
      <c r="B177" s="938" t="s">
        <v>495</v>
      </c>
      <c r="C177" s="933"/>
      <c r="D177" s="934" t="s">
        <v>496</v>
      </c>
      <c r="E177" s="972">
        <f>E178+E179+E180+E181</f>
        <v>51168</v>
      </c>
      <c r="F177" s="972">
        <f aca="true" t="shared" si="48" ref="F177:L177">F178+F179+F180+F181</f>
        <v>3400</v>
      </c>
      <c r="G177" s="1253">
        <f t="shared" si="48"/>
        <v>54568</v>
      </c>
      <c r="H177" s="1352">
        <f t="shared" si="48"/>
        <v>54356.71</v>
      </c>
      <c r="I177" s="1390">
        <f>H177/G177</f>
        <v>0.9961279504471485</v>
      </c>
      <c r="J177" s="954">
        <f t="shared" si="48"/>
        <v>0</v>
      </c>
      <c r="K177" s="947">
        <f t="shared" si="48"/>
        <v>0</v>
      </c>
      <c r="L177" s="1353">
        <f t="shared" si="48"/>
        <v>0</v>
      </c>
    </row>
    <row r="178" spans="1:12" ht="22.5">
      <c r="A178" s="935"/>
      <c r="B178" s="935"/>
      <c r="C178" s="936" t="s">
        <v>463</v>
      </c>
      <c r="D178" s="937" t="s">
        <v>464</v>
      </c>
      <c r="E178" s="973">
        <v>250</v>
      </c>
      <c r="F178" s="973">
        <f>G178-E178</f>
        <v>100</v>
      </c>
      <c r="G178" s="976">
        <v>350</v>
      </c>
      <c r="H178" s="1357">
        <v>191.25</v>
      </c>
      <c r="I178" s="1360">
        <f t="shared" si="43"/>
        <v>0.5464285714285714</v>
      </c>
      <c r="J178" s="941">
        <v>0</v>
      </c>
      <c r="K178" s="941">
        <v>0</v>
      </c>
      <c r="L178" s="941">
        <v>0</v>
      </c>
    </row>
    <row r="179" spans="1:12" ht="67.5">
      <c r="A179" s="935"/>
      <c r="B179" s="935"/>
      <c r="C179" s="936" t="s">
        <v>373</v>
      </c>
      <c r="D179" s="937" t="s">
        <v>374</v>
      </c>
      <c r="E179" s="973">
        <v>0</v>
      </c>
      <c r="F179" s="973">
        <f>G179-E179</f>
        <v>0</v>
      </c>
      <c r="G179" s="976">
        <v>0</v>
      </c>
      <c r="H179" s="1357">
        <v>0</v>
      </c>
      <c r="I179" s="1360">
        <v>0</v>
      </c>
      <c r="J179" s="941">
        <v>0</v>
      </c>
      <c r="K179" s="941">
        <v>0</v>
      </c>
      <c r="L179" s="941">
        <v>0</v>
      </c>
    </row>
    <row r="180" spans="1:12" ht="45">
      <c r="A180" s="935"/>
      <c r="B180" s="935"/>
      <c r="C180" s="936" t="s">
        <v>465</v>
      </c>
      <c r="D180" s="937" t="s">
        <v>466</v>
      </c>
      <c r="E180" s="973">
        <v>50918</v>
      </c>
      <c r="F180" s="973">
        <f>G180-E180</f>
        <v>3300</v>
      </c>
      <c r="G180" s="976">
        <v>54218</v>
      </c>
      <c r="H180" s="1357">
        <v>54165.46</v>
      </c>
      <c r="I180" s="1360">
        <f t="shared" si="43"/>
        <v>0.9990309491312848</v>
      </c>
      <c r="J180" s="941">
        <v>0</v>
      </c>
      <c r="K180" s="941">
        <v>0</v>
      </c>
      <c r="L180" s="941">
        <v>0</v>
      </c>
    </row>
    <row r="181" spans="1:12" ht="67.5">
      <c r="A181" s="935"/>
      <c r="B181" s="935"/>
      <c r="C181" s="936" t="s">
        <v>497</v>
      </c>
      <c r="D181" s="937" t="s">
        <v>498</v>
      </c>
      <c r="E181" s="973">
        <v>0</v>
      </c>
      <c r="F181" s="973">
        <f>G181-E181</f>
        <v>0</v>
      </c>
      <c r="G181" s="976" t="s">
        <v>370</v>
      </c>
      <c r="H181" s="1357">
        <v>0</v>
      </c>
      <c r="I181" s="1360">
        <v>0</v>
      </c>
      <c r="J181" s="941">
        <v>0</v>
      </c>
      <c r="K181" s="941">
        <v>0</v>
      </c>
      <c r="L181" s="941">
        <v>0</v>
      </c>
    </row>
    <row r="182" spans="1:12" ht="33.75">
      <c r="A182" s="932"/>
      <c r="B182" s="938" t="s">
        <v>499</v>
      </c>
      <c r="C182" s="933"/>
      <c r="D182" s="934" t="s">
        <v>78</v>
      </c>
      <c r="E182" s="972">
        <f>E184</f>
        <v>78871</v>
      </c>
      <c r="F182" s="972">
        <f>F184</f>
        <v>17129</v>
      </c>
      <c r="G182" s="1253" t="str">
        <f>G184</f>
        <v>96 000,00</v>
      </c>
      <c r="H182" s="1352">
        <f>H184</f>
        <v>96000</v>
      </c>
      <c r="I182" s="1361">
        <f t="shared" si="43"/>
        <v>1</v>
      </c>
      <c r="J182" s="1367">
        <f>J184+J183</f>
        <v>6467.6</v>
      </c>
      <c r="K182" s="1367">
        <f>K184+K183</f>
        <v>3801.9</v>
      </c>
      <c r="L182" s="1367">
        <f>L184+L183</f>
        <v>0</v>
      </c>
    </row>
    <row r="183" spans="1:12" ht="22.5">
      <c r="A183" s="932"/>
      <c r="B183" s="986"/>
      <c r="C183" s="1495" t="s">
        <v>463</v>
      </c>
      <c r="D183" s="937" t="s">
        <v>464</v>
      </c>
      <c r="E183" s="1493">
        <v>0</v>
      </c>
      <c r="F183" s="1493"/>
      <c r="G183" s="1494">
        <v>0</v>
      </c>
      <c r="H183" s="1366">
        <v>0</v>
      </c>
      <c r="I183" s="1360">
        <v>0</v>
      </c>
      <c r="J183" s="1368">
        <v>6467.6</v>
      </c>
      <c r="K183" s="1368">
        <v>3801.9</v>
      </c>
      <c r="L183" s="1368">
        <v>0</v>
      </c>
    </row>
    <row r="184" spans="1:12" ht="45">
      <c r="A184" s="935"/>
      <c r="B184" s="935"/>
      <c r="C184" s="936" t="s">
        <v>465</v>
      </c>
      <c r="D184" s="981" t="s">
        <v>466</v>
      </c>
      <c r="E184" s="973">
        <v>78871</v>
      </c>
      <c r="F184" s="973">
        <f>G184-E184</f>
        <v>17129</v>
      </c>
      <c r="G184" s="976" t="s">
        <v>500</v>
      </c>
      <c r="H184" s="1357">
        <v>96000</v>
      </c>
      <c r="I184" s="1360">
        <f t="shared" si="43"/>
        <v>1</v>
      </c>
      <c r="J184" s="941">
        <v>0</v>
      </c>
      <c r="K184" s="941">
        <v>0</v>
      </c>
      <c r="L184" s="941">
        <v>0</v>
      </c>
    </row>
    <row r="185" spans="1:12" ht="15">
      <c r="A185" s="932"/>
      <c r="B185" s="938" t="s">
        <v>501</v>
      </c>
      <c r="C185" s="933"/>
      <c r="D185" s="934" t="s">
        <v>44</v>
      </c>
      <c r="E185" s="972">
        <f>E186</f>
        <v>0</v>
      </c>
      <c r="F185" s="972">
        <f aca="true" t="shared" si="49" ref="F185:L185">F186</f>
        <v>19000</v>
      </c>
      <c r="G185" s="1253">
        <f t="shared" si="49"/>
        <v>19000</v>
      </c>
      <c r="H185" s="1352">
        <f t="shared" si="49"/>
        <v>12357.15</v>
      </c>
      <c r="I185" s="1361">
        <f t="shared" si="43"/>
        <v>0.6503763157894736</v>
      </c>
      <c r="J185" s="1353">
        <f t="shared" si="49"/>
        <v>0</v>
      </c>
      <c r="K185" s="1353">
        <f t="shared" si="49"/>
        <v>0</v>
      </c>
      <c r="L185" s="1353">
        <f t="shared" si="49"/>
        <v>0</v>
      </c>
    </row>
    <row r="186" spans="1:12" ht="67.5">
      <c r="A186" s="935"/>
      <c r="B186" s="935"/>
      <c r="C186" s="936" t="s">
        <v>373</v>
      </c>
      <c r="D186" s="937" t="s">
        <v>374</v>
      </c>
      <c r="E186" s="973">
        <v>0</v>
      </c>
      <c r="F186" s="973">
        <f>G186-E186</f>
        <v>19000</v>
      </c>
      <c r="G186" s="976">
        <v>19000</v>
      </c>
      <c r="H186" s="1357">
        <v>12357.15</v>
      </c>
      <c r="I186" s="1360">
        <f t="shared" si="43"/>
        <v>0.6503763157894736</v>
      </c>
      <c r="J186" s="941">
        <v>0</v>
      </c>
      <c r="K186" s="941">
        <v>0</v>
      </c>
      <c r="L186" s="941">
        <v>0</v>
      </c>
    </row>
    <row r="187" spans="1:12" ht="15">
      <c r="A187" s="932"/>
      <c r="B187" s="938" t="s">
        <v>502</v>
      </c>
      <c r="C187" s="933"/>
      <c r="D187" s="934" t="s">
        <v>79</v>
      </c>
      <c r="E187" s="972">
        <f>E188+E189+E190</f>
        <v>262971</v>
      </c>
      <c r="F187" s="972">
        <f aca="true" t="shared" si="50" ref="F187:L187">F188+F189+F190</f>
        <v>188300</v>
      </c>
      <c r="G187" s="1253">
        <f t="shared" si="50"/>
        <v>451271</v>
      </c>
      <c r="H187" s="1352">
        <f t="shared" si="50"/>
        <v>441991.21</v>
      </c>
      <c r="I187" s="1361">
        <f t="shared" si="43"/>
        <v>0.9794363254009232</v>
      </c>
      <c r="J187" s="1353">
        <f t="shared" si="50"/>
        <v>4815.25</v>
      </c>
      <c r="K187" s="1353">
        <f t="shared" si="50"/>
        <v>4815.25</v>
      </c>
      <c r="L187" s="1353">
        <f t="shared" si="50"/>
        <v>0</v>
      </c>
    </row>
    <row r="188" spans="1:12" ht="22.5">
      <c r="A188" s="935"/>
      <c r="B188" s="935"/>
      <c r="C188" s="936" t="s">
        <v>463</v>
      </c>
      <c r="D188" s="937" t="s">
        <v>464</v>
      </c>
      <c r="E188" s="973">
        <v>700</v>
      </c>
      <c r="F188" s="973">
        <f>G188-E188</f>
        <v>2300</v>
      </c>
      <c r="G188" s="976">
        <v>3000</v>
      </c>
      <c r="H188" s="1357">
        <v>1895.75</v>
      </c>
      <c r="I188" s="1360">
        <f t="shared" si="43"/>
        <v>0.6319166666666667</v>
      </c>
      <c r="J188" s="941">
        <v>4815.25</v>
      </c>
      <c r="K188" s="941">
        <v>4815.25</v>
      </c>
      <c r="L188" s="941">
        <v>0</v>
      </c>
    </row>
    <row r="189" spans="1:12" ht="45">
      <c r="A189" s="935"/>
      <c r="B189" s="935"/>
      <c r="C189" s="936" t="s">
        <v>465</v>
      </c>
      <c r="D189" s="937" t="s">
        <v>466</v>
      </c>
      <c r="E189" s="973">
        <v>262271</v>
      </c>
      <c r="F189" s="973">
        <f>G189-E189</f>
        <v>186000</v>
      </c>
      <c r="G189" s="976">
        <v>448271</v>
      </c>
      <c r="H189" s="1357">
        <v>440095.46</v>
      </c>
      <c r="I189" s="1360">
        <f t="shared" si="43"/>
        <v>0.9817620591115642</v>
      </c>
      <c r="J189" s="941">
        <v>0</v>
      </c>
      <c r="K189" s="941">
        <v>0</v>
      </c>
      <c r="L189" s="941">
        <v>0</v>
      </c>
    </row>
    <row r="190" spans="1:12" ht="67.5">
      <c r="A190" s="935"/>
      <c r="B190" s="935"/>
      <c r="C190" s="936" t="s">
        <v>497</v>
      </c>
      <c r="D190" s="937" t="s">
        <v>498</v>
      </c>
      <c r="E190" s="973">
        <v>0</v>
      </c>
      <c r="F190" s="973">
        <f>G190-E190</f>
        <v>0</v>
      </c>
      <c r="G190" s="976" t="s">
        <v>370</v>
      </c>
      <c r="H190" s="1357">
        <v>0</v>
      </c>
      <c r="I190" s="1360">
        <v>0</v>
      </c>
      <c r="J190" s="941">
        <v>0</v>
      </c>
      <c r="K190" s="941">
        <v>0</v>
      </c>
      <c r="L190" s="941">
        <v>0</v>
      </c>
    </row>
    <row r="191" spans="1:12" ht="15">
      <c r="A191" s="932"/>
      <c r="B191" s="1497" t="s">
        <v>503</v>
      </c>
      <c r="C191" s="1498"/>
      <c r="D191" s="1499" t="s">
        <v>80</v>
      </c>
      <c r="E191" s="1500">
        <f>E193+E192</f>
        <v>171875</v>
      </c>
      <c r="F191" s="1500">
        <f>F193+F192</f>
        <v>26500</v>
      </c>
      <c r="G191" s="1500">
        <f>G193+G192</f>
        <v>198375</v>
      </c>
      <c r="H191" s="1500">
        <f>H193+H192</f>
        <v>198346.96</v>
      </c>
      <c r="I191" s="1501">
        <f t="shared" si="43"/>
        <v>0.9998586515437933</v>
      </c>
      <c r="J191" s="1367">
        <f>J193</f>
        <v>0</v>
      </c>
      <c r="K191" s="1367">
        <f>K193</f>
        <v>0</v>
      </c>
      <c r="L191" s="1367">
        <f>L193</f>
        <v>0</v>
      </c>
    </row>
    <row r="192" spans="1:12" ht="33.75">
      <c r="A192" s="1496"/>
      <c r="B192" s="1504"/>
      <c r="C192" s="1506" t="s">
        <v>97</v>
      </c>
      <c r="D192" s="981" t="s">
        <v>735</v>
      </c>
      <c r="E192" s="1505">
        <v>0</v>
      </c>
      <c r="F192" s="1505"/>
      <c r="G192" s="1505">
        <v>0</v>
      </c>
      <c r="H192" s="1368">
        <v>11.6</v>
      </c>
      <c r="I192" s="1250">
        <v>0</v>
      </c>
      <c r="J192" s="1368">
        <v>0</v>
      </c>
      <c r="K192" s="1368">
        <v>0</v>
      </c>
      <c r="L192" s="1368">
        <v>0</v>
      </c>
    </row>
    <row r="193" spans="1:12" ht="45">
      <c r="A193" s="935"/>
      <c r="B193" s="935"/>
      <c r="C193" s="1477" t="s">
        <v>465</v>
      </c>
      <c r="D193" s="1475" t="s">
        <v>466</v>
      </c>
      <c r="E193" s="1383">
        <v>171875</v>
      </c>
      <c r="F193" s="1383">
        <f>G193-E193</f>
        <v>26500</v>
      </c>
      <c r="G193" s="1384">
        <v>198375</v>
      </c>
      <c r="H193" s="1502">
        <v>198335.36</v>
      </c>
      <c r="I193" s="1385">
        <f t="shared" si="43"/>
        <v>0.9998001764335223</v>
      </c>
      <c r="J193" s="1503">
        <v>0</v>
      </c>
      <c r="K193" s="1503">
        <v>0</v>
      </c>
      <c r="L193" s="1503">
        <v>0</v>
      </c>
    </row>
    <row r="194" spans="1:12" ht="22.5">
      <c r="A194" s="932"/>
      <c r="B194" s="1497" t="s">
        <v>504</v>
      </c>
      <c r="C194" s="1498"/>
      <c r="D194" s="1499" t="s">
        <v>46</v>
      </c>
      <c r="E194" s="1500">
        <f>E196+E197+E198+E199+E195</f>
        <v>295859</v>
      </c>
      <c r="F194" s="1500">
        <f>F196+F197+F198+F199+F195</f>
        <v>262816</v>
      </c>
      <c r="G194" s="1500">
        <f>G196+G197+G198+G199+G195</f>
        <v>558675</v>
      </c>
      <c r="H194" s="1500">
        <f>H196+H197+H198+H199+H195</f>
        <v>559356.4400000001</v>
      </c>
      <c r="I194" s="1501">
        <f t="shared" si="43"/>
        <v>1.0012197431422563</v>
      </c>
      <c r="J194" s="1367">
        <f>J196+J197+J198+J199</f>
        <v>5090.17</v>
      </c>
      <c r="K194" s="1367">
        <f>K196+K197+K198+K199</f>
        <v>239</v>
      </c>
      <c r="L194" s="1367">
        <f>L196+L197+L198+L199</f>
        <v>0</v>
      </c>
    </row>
    <row r="195" spans="1:12" ht="33.75">
      <c r="A195" s="1496"/>
      <c r="B195" s="1504"/>
      <c r="C195" s="1506" t="s">
        <v>97</v>
      </c>
      <c r="D195" s="981" t="s">
        <v>735</v>
      </c>
      <c r="E195" s="1505">
        <v>0</v>
      </c>
      <c r="F195" s="1505"/>
      <c r="G195" s="1505">
        <v>0</v>
      </c>
      <c r="H195" s="1368">
        <v>34.8</v>
      </c>
      <c r="I195" s="1250">
        <v>0</v>
      </c>
      <c r="J195" s="1368">
        <v>0</v>
      </c>
      <c r="K195" s="1368">
        <v>0</v>
      </c>
      <c r="L195" s="1368">
        <v>0</v>
      </c>
    </row>
    <row r="196" spans="1:12" ht="12.75">
      <c r="A196" s="935"/>
      <c r="B196" s="935"/>
      <c r="C196" s="1474" t="s">
        <v>56</v>
      </c>
      <c r="D196" s="1475" t="s">
        <v>57</v>
      </c>
      <c r="E196" s="1383">
        <v>55000</v>
      </c>
      <c r="F196" s="1383">
        <f>G196-E196</f>
        <v>0</v>
      </c>
      <c r="G196" s="1384">
        <v>55000</v>
      </c>
      <c r="H196" s="1502">
        <v>61915.65</v>
      </c>
      <c r="I196" s="1385">
        <f t="shared" si="43"/>
        <v>1.125739090909091</v>
      </c>
      <c r="J196" s="1503">
        <v>4834.95</v>
      </c>
      <c r="K196" s="1503">
        <v>170.25</v>
      </c>
      <c r="L196" s="1503">
        <v>0</v>
      </c>
    </row>
    <row r="197" spans="1:12" ht="67.5">
      <c r="A197" s="935"/>
      <c r="B197" s="935"/>
      <c r="C197" s="936" t="s">
        <v>373</v>
      </c>
      <c r="D197" s="937" t="s">
        <v>374</v>
      </c>
      <c r="E197" s="973">
        <v>240184</v>
      </c>
      <c r="F197" s="973">
        <f>G197-E197</f>
        <v>262816</v>
      </c>
      <c r="G197" s="976">
        <v>503000</v>
      </c>
      <c r="H197" s="1357">
        <v>494925</v>
      </c>
      <c r="I197" s="1360">
        <f t="shared" si="43"/>
        <v>0.9839463220675945</v>
      </c>
      <c r="J197" s="941">
        <v>0</v>
      </c>
      <c r="K197" s="941">
        <v>0</v>
      </c>
      <c r="L197" s="941">
        <v>0</v>
      </c>
    </row>
    <row r="198" spans="1:12" ht="45">
      <c r="A198" s="935"/>
      <c r="B198" s="935"/>
      <c r="C198" s="936" t="s">
        <v>465</v>
      </c>
      <c r="D198" s="937" t="s">
        <v>466</v>
      </c>
      <c r="E198" s="973">
        <v>0</v>
      </c>
      <c r="F198" s="973">
        <f>G198-E198</f>
        <v>0</v>
      </c>
      <c r="G198" s="976" t="s">
        <v>370</v>
      </c>
      <c r="H198" s="1357">
        <v>0</v>
      </c>
      <c r="I198" s="1360">
        <v>0</v>
      </c>
      <c r="J198" s="941">
        <v>0</v>
      </c>
      <c r="K198" s="941">
        <v>0</v>
      </c>
      <c r="L198" s="941">
        <v>0</v>
      </c>
    </row>
    <row r="199" spans="1:12" ht="45">
      <c r="A199" s="935"/>
      <c r="B199" s="935"/>
      <c r="C199" s="936" t="s">
        <v>505</v>
      </c>
      <c r="D199" s="937" t="s">
        <v>506</v>
      </c>
      <c r="E199" s="973">
        <v>675</v>
      </c>
      <c r="F199" s="973">
        <f>G199-E199</f>
        <v>0</v>
      </c>
      <c r="G199" s="976">
        <v>675</v>
      </c>
      <c r="H199" s="1357">
        <v>2480.99</v>
      </c>
      <c r="I199" s="1360">
        <f t="shared" si="43"/>
        <v>3.6755407407407406</v>
      </c>
      <c r="J199" s="941">
        <v>255.22</v>
      </c>
      <c r="K199" s="941">
        <v>68.75</v>
      </c>
      <c r="L199" s="941">
        <v>0</v>
      </c>
    </row>
    <row r="200" spans="1:12" ht="15">
      <c r="A200" s="932"/>
      <c r="B200" s="938" t="s">
        <v>507</v>
      </c>
      <c r="C200" s="933"/>
      <c r="D200" s="934" t="s">
        <v>81</v>
      </c>
      <c r="E200" s="972">
        <f>E201</f>
        <v>0</v>
      </c>
      <c r="F200" s="972">
        <f aca="true" t="shared" si="51" ref="F200:L200">F201</f>
        <v>220500</v>
      </c>
      <c r="G200" s="1253">
        <f t="shared" si="51"/>
        <v>220500</v>
      </c>
      <c r="H200" s="1352">
        <f t="shared" si="51"/>
        <v>220500</v>
      </c>
      <c r="I200" s="1361">
        <f t="shared" si="43"/>
        <v>1</v>
      </c>
      <c r="J200" s="1353">
        <f t="shared" si="51"/>
        <v>0</v>
      </c>
      <c r="K200" s="1353">
        <f t="shared" si="51"/>
        <v>0</v>
      </c>
      <c r="L200" s="1353">
        <f t="shared" si="51"/>
        <v>0</v>
      </c>
    </row>
    <row r="201" spans="1:12" ht="45">
      <c r="A201" s="935"/>
      <c r="B201" s="935"/>
      <c r="C201" s="936" t="s">
        <v>465</v>
      </c>
      <c r="D201" s="937" t="s">
        <v>466</v>
      </c>
      <c r="E201" s="973">
        <v>0</v>
      </c>
      <c r="F201" s="973">
        <f>G201-E201</f>
        <v>220500</v>
      </c>
      <c r="G201" s="976">
        <v>220500</v>
      </c>
      <c r="H201" s="1357">
        <v>220500</v>
      </c>
      <c r="I201" s="1360">
        <f t="shared" si="43"/>
        <v>1</v>
      </c>
      <c r="J201" s="941">
        <v>0</v>
      </c>
      <c r="K201" s="941">
        <v>0</v>
      </c>
      <c r="L201" s="941">
        <v>0</v>
      </c>
    </row>
    <row r="202" spans="1:12" ht="27" customHeight="1">
      <c r="A202" s="965" t="s">
        <v>508</v>
      </c>
      <c r="B202" s="965"/>
      <c r="C202" s="965"/>
      <c r="D202" s="1258" t="s">
        <v>271</v>
      </c>
      <c r="E202" s="1259">
        <f>E203</f>
        <v>0</v>
      </c>
      <c r="F202" s="1259">
        <f aca="true" t="shared" si="52" ref="F202:L202">F203</f>
        <v>0</v>
      </c>
      <c r="G202" s="1260">
        <f t="shared" si="52"/>
        <v>0</v>
      </c>
      <c r="H202" s="1354">
        <f t="shared" si="52"/>
        <v>-37873.49</v>
      </c>
      <c r="I202" s="1459">
        <v>0</v>
      </c>
      <c r="J202" s="1355">
        <f t="shared" si="52"/>
        <v>0</v>
      </c>
      <c r="K202" s="1355">
        <f t="shared" si="52"/>
        <v>0</v>
      </c>
      <c r="L202" s="1355">
        <f t="shared" si="52"/>
        <v>0</v>
      </c>
    </row>
    <row r="203" spans="1:12" ht="15">
      <c r="A203" s="932"/>
      <c r="B203" s="938" t="s">
        <v>509</v>
      </c>
      <c r="C203" s="933"/>
      <c r="D203" s="934" t="s">
        <v>10</v>
      </c>
      <c r="E203" s="972">
        <f>E204+E205</f>
        <v>0</v>
      </c>
      <c r="F203" s="972">
        <f aca="true" t="shared" si="53" ref="F203:L203">F204+F205</f>
        <v>0</v>
      </c>
      <c r="G203" s="1253">
        <f t="shared" si="53"/>
        <v>0</v>
      </c>
      <c r="H203" s="1352">
        <f t="shared" si="53"/>
        <v>-37873.49</v>
      </c>
      <c r="I203" s="1361">
        <v>0</v>
      </c>
      <c r="J203" s="1353">
        <f t="shared" si="53"/>
        <v>0</v>
      </c>
      <c r="K203" s="1353">
        <f t="shared" si="53"/>
        <v>0</v>
      </c>
      <c r="L203" s="1353">
        <f t="shared" si="53"/>
        <v>0</v>
      </c>
    </row>
    <row r="204" spans="1:12" ht="90">
      <c r="A204" s="935"/>
      <c r="B204" s="935"/>
      <c r="C204" s="936" t="s">
        <v>490</v>
      </c>
      <c r="D204" s="1482" t="s">
        <v>491</v>
      </c>
      <c r="E204" s="973">
        <v>0</v>
      </c>
      <c r="F204" s="973">
        <f>G204-E204</f>
        <v>0</v>
      </c>
      <c r="G204" s="976">
        <v>0</v>
      </c>
      <c r="H204" s="1357">
        <v>-37873.49</v>
      </c>
      <c r="I204" s="1360">
        <v>0</v>
      </c>
      <c r="J204" s="941">
        <v>0</v>
      </c>
      <c r="K204" s="941">
        <v>0</v>
      </c>
      <c r="L204" s="941">
        <v>0</v>
      </c>
    </row>
    <row r="205" spans="1:12" ht="90">
      <c r="A205" s="935"/>
      <c r="B205" s="935"/>
      <c r="C205" s="936" t="s">
        <v>492</v>
      </c>
      <c r="D205" s="1482" t="s">
        <v>491</v>
      </c>
      <c r="E205" s="973">
        <v>0</v>
      </c>
      <c r="F205" s="973">
        <f>G205-E205</f>
        <v>0</v>
      </c>
      <c r="G205" s="976">
        <v>0</v>
      </c>
      <c r="H205" s="1357">
        <v>0</v>
      </c>
      <c r="I205" s="1360">
        <v>0</v>
      </c>
      <c r="J205" s="941">
        <v>0</v>
      </c>
      <c r="K205" s="941">
        <v>0</v>
      </c>
      <c r="L205" s="941">
        <v>0</v>
      </c>
    </row>
    <row r="206" spans="1:12" ht="21" customHeight="1">
      <c r="A206" s="965" t="s">
        <v>510</v>
      </c>
      <c r="B206" s="965"/>
      <c r="C206" s="965"/>
      <c r="D206" s="1258" t="s">
        <v>82</v>
      </c>
      <c r="E206" s="1259">
        <f>E207</f>
        <v>0</v>
      </c>
      <c r="F206" s="1259">
        <f aca="true" t="shared" si="54" ref="F206:L206">F207</f>
        <v>207423</v>
      </c>
      <c r="G206" s="1260">
        <f t="shared" si="54"/>
        <v>207423</v>
      </c>
      <c r="H206" s="1354">
        <f t="shared" si="54"/>
        <v>176664.76</v>
      </c>
      <c r="I206" s="1459">
        <f t="shared" si="43"/>
        <v>0.8517124909002377</v>
      </c>
      <c r="J206" s="1355">
        <f t="shared" si="54"/>
        <v>0</v>
      </c>
      <c r="K206" s="1355">
        <f t="shared" si="54"/>
        <v>0</v>
      </c>
      <c r="L206" s="1355">
        <f t="shared" si="54"/>
        <v>0</v>
      </c>
    </row>
    <row r="207" spans="1:12" ht="22.5">
      <c r="A207" s="932"/>
      <c r="B207" s="938" t="s">
        <v>511</v>
      </c>
      <c r="C207" s="933"/>
      <c r="D207" s="934" t="s">
        <v>83</v>
      </c>
      <c r="E207" s="972">
        <f>E208+E209</f>
        <v>0</v>
      </c>
      <c r="F207" s="972">
        <f aca="true" t="shared" si="55" ref="F207:L207">F208+F209</f>
        <v>207423</v>
      </c>
      <c r="G207" s="1253">
        <f t="shared" si="55"/>
        <v>207423</v>
      </c>
      <c r="H207" s="1352">
        <f t="shared" si="55"/>
        <v>176664.76</v>
      </c>
      <c r="I207" s="1361">
        <f t="shared" si="43"/>
        <v>0.8517124909002377</v>
      </c>
      <c r="J207" s="1353">
        <f t="shared" si="55"/>
        <v>0</v>
      </c>
      <c r="K207" s="1353">
        <f t="shared" si="55"/>
        <v>0</v>
      </c>
      <c r="L207" s="1353">
        <f t="shared" si="55"/>
        <v>0</v>
      </c>
    </row>
    <row r="208" spans="1:12" ht="45">
      <c r="A208" s="935"/>
      <c r="B208" s="935"/>
      <c r="C208" s="936" t="s">
        <v>465</v>
      </c>
      <c r="D208" s="937" t="s">
        <v>466</v>
      </c>
      <c r="E208" s="973">
        <v>0</v>
      </c>
      <c r="F208" s="973">
        <f>G208-E208</f>
        <v>205643</v>
      </c>
      <c r="G208" s="976">
        <v>205643</v>
      </c>
      <c r="H208" s="1357">
        <v>174953.97</v>
      </c>
      <c r="I208" s="1360">
        <f t="shared" si="43"/>
        <v>0.8507655013786027</v>
      </c>
      <c r="J208" s="941">
        <v>0</v>
      </c>
      <c r="K208" s="941">
        <v>0</v>
      </c>
      <c r="L208" s="941">
        <v>0</v>
      </c>
    </row>
    <row r="209" spans="1:12" ht="67.5">
      <c r="A209" s="935"/>
      <c r="B209" s="935"/>
      <c r="C209" s="936" t="s">
        <v>512</v>
      </c>
      <c r="D209" s="937" t="s">
        <v>513</v>
      </c>
      <c r="E209" s="973">
        <v>0</v>
      </c>
      <c r="F209" s="973">
        <f>G209-E209</f>
        <v>1780</v>
      </c>
      <c r="G209" s="976">
        <v>1780</v>
      </c>
      <c r="H209" s="1357">
        <v>1710.79</v>
      </c>
      <c r="I209" s="1360">
        <f t="shared" si="43"/>
        <v>0.9611179775280899</v>
      </c>
      <c r="J209" s="941">
        <v>0</v>
      </c>
      <c r="K209" s="941">
        <v>0</v>
      </c>
      <c r="L209" s="941">
        <v>0</v>
      </c>
    </row>
    <row r="210" spans="1:12" ht="12.75">
      <c r="A210" s="965" t="s">
        <v>514</v>
      </c>
      <c r="B210" s="965"/>
      <c r="C210" s="965"/>
      <c r="D210" s="1258" t="s">
        <v>47</v>
      </c>
      <c r="E210" s="1259">
        <f>E211+E218+E226+E229+E233</f>
        <v>19678591</v>
      </c>
      <c r="F210" s="1259">
        <f>F211+F218+F226+F229+F233</f>
        <v>6883742</v>
      </c>
      <c r="G210" s="1259">
        <f>G211+G218+G226+G229+G233</f>
        <v>26562333</v>
      </c>
      <c r="H210" s="1259">
        <f>H211+H218+H226+H229+H233</f>
        <v>26484655.140000008</v>
      </c>
      <c r="I210" s="1459">
        <f t="shared" si="43"/>
        <v>0.9970756386496626</v>
      </c>
      <c r="J210" s="1355">
        <f>J211+J218+J226+J229+J233</f>
        <v>3492232.61</v>
      </c>
      <c r="K210" s="1355">
        <f>K211+K218+K226+K229+K233</f>
        <v>3470202.7399999998</v>
      </c>
      <c r="L210" s="1355">
        <f>L211+L218+L226+L229+L233</f>
        <v>0</v>
      </c>
    </row>
    <row r="211" spans="1:12" ht="15">
      <c r="A211" s="932"/>
      <c r="B211" s="938" t="s">
        <v>515</v>
      </c>
      <c r="C211" s="933"/>
      <c r="D211" s="934" t="s">
        <v>516</v>
      </c>
      <c r="E211" s="972">
        <f>E213+E214+E215+E216+E217+E212</f>
        <v>11828801</v>
      </c>
      <c r="F211" s="972">
        <f>F213+F214+F215+F216+F217+F212</f>
        <v>5796972</v>
      </c>
      <c r="G211" s="972">
        <f>G213+G214+G215+G216+G217+G212</f>
        <v>17625773</v>
      </c>
      <c r="H211" s="972">
        <f>H213+H214+H215+H216+H217+H212</f>
        <v>17568296.910000004</v>
      </c>
      <c r="I211" s="1361">
        <f t="shared" si="43"/>
        <v>0.9967390882658028</v>
      </c>
      <c r="J211" s="1367">
        <f>J213+J214+J215+J216+J217</f>
        <v>22190.8</v>
      </c>
      <c r="K211" s="1367">
        <f>K213+K214+K215+K216+K217</f>
        <v>8790.8</v>
      </c>
      <c r="L211" s="1367">
        <f>L213+L214+L215+L216+L217</f>
        <v>0</v>
      </c>
    </row>
    <row r="212" spans="1:12" ht="33.75">
      <c r="A212" s="932"/>
      <c r="B212" s="986"/>
      <c r="C212" s="1495" t="s">
        <v>97</v>
      </c>
      <c r="D212" s="981" t="s">
        <v>735</v>
      </c>
      <c r="E212" s="1493">
        <v>0</v>
      </c>
      <c r="F212" s="1493"/>
      <c r="G212" s="1494">
        <v>0</v>
      </c>
      <c r="H212" s="1366">
        <v>11.6</v>
      </c>
      <c r="I212" s="1360">
        <v>0</v>
      </c>
      <c r="J212" s="1368">
        <v>0</v>
      </c>
      <c r="K212" s="1368">
        <v>0</v>
      </c>
      <c r="L212" s="1368">
        <v>0</v>
      </c>
    </row>
    <row r="213" spans="1:12" ht="67.5">
      <c r="A213" s="935"/>
      <c r="B213" s="935"/>
      <c r="C213" s="984" t="s">
        <v>517</v>
      </c>
      <c r="D213" s="937" t="s">
        <v>518</v>
      </c>
      <c r="E213" s="973">
        <v>0</v>
      </c>
      <c r="F213" s="973">
        <f>G213-E213</f>
        <v>0</v>
      </c>
      <c r="G213" s="976" t="s">
        <v>370</v>
      </c>
      <c r="H213" s="1357">
        <v>0</v>
      </c>
      <c r="I213" s="1360">
        <v>0</v>
      </c>
      <c r="J213" s="941">
        <v>0</v>
      </c>
      <c r="K213" s="941">
        <v>0</v>
      </c>
      <c r="L213" s="941">
        <v>0</v>
      </c>
    </row>
    <row r="214" spans="1:12" ht="12.75">
      <c r="A214" s="935"/>
      <c r="B214" s="935"/>
      <c r="C214" s="936" t="s">
        <v>58</v>
      </c>
      <c r="D214" s="937" t="s">
        <v>59</v>
      </c>
      <c r="E214" s="973">
        <v>2000</v>
      </c>
      <c r="F214" s="973">
        <f>G214-E214</f>
        <v>1000</v>
      </c>
      <c r="G214" s="976">
        <v>3000</v>
      </c>
      <c r="H214" s="1357">
        <v>2033.85</v>
      </c>
      <c r="I214" s="1360">
        <f t="shared" si="43"/>
        <v>0.6779499999999999</v>
      </c>
      <c r="J214" s="941">
        <v>0</v>
      </c>
      <c r="K214" s="941">
        <v>0</v>
      </c>
      <c r="L214" s="941">
        <v>0</v>
      </c>
    </row>
    <row r="215" spans="1:12" ht="22.5">
      <c r="A215" s="935"/>
      <c r="B215" s="935"/>
      <c r="C215" s="936" t="s">
        <v>463</v>
      </c>
      <c r="D215" s="937" t="s">
        <v>464</v>
      </c>
      <c r="E215" s="973">
        <v>40000</v>
      </c>
      <c r="F215" s="973">
        <f>G215-E215</f>
        <v>0</v>
      </c>
      <c r="G215" s="976">
        <v>40000</v>
      </c>
      <c r="H215" s="1357">
        <v>17919.2</v>
      </c>
      <c r="I215" s="1360">
        <f t="shared" si="43"/>
        <v>0.44798000000000004</v>
      </c>
      <c r="J215" s="941">
        <v>22190.8</v>
      </c>
      <c r="K215" s="941">
        <v>8790.8</v>
      </c>
      <c r="L215" s="941">
        <v>0</v>
      </c>
    </row>
    <row r="216" spans="1:12" ht="101.25">
      <c r="A216" s="935"/>
      <c r="B216" s="935"/>
      <c r="C216" s="936" t="s">
        <v>519</v>
      </c>
      <c r="D216" s="937" t="s">
        <v>520</v>
      </c>
      <c r="E216" s="973">
        <v>11786801</v>
      </c>
      <c r="F216" s="973">
        <f>G216-E216</f>
        <v>5795972</v>
      </c>
      <c r="G216" s="976">
        <v>17582773</v>
      </c>
      <c r="H216" s="1357">
        <v>17548332.26</v>
      </c>
      <c r="I216" s="1360">
        <f t="shared" si="43"/>
        <v>0.9980412225079629</v>
      </c>
      <c r="J216" s="941">
        <v>0</v>
      </c>
      <c r="K216" s="941">
        <v>0</v>
      </c>
      <c r="L216" s="941">
        <v>0</v>
      </c>
    </row>
    <row r="217" spans="1:12" ht="67.5">
      <c r="A217" s="935"/>
      <c r="B217" s="935"/>
      <c r="C217" s="936" t="s">
        <v>497</v>
      </c>
      <c r="D217" s="937" t="s">
        <v>498</v>
      </c>
      <c r="E217" s="973">
        <v>0</v>
      </c>
      <c r="F217" s="973">
        <f>G217-E217</f>
        <v>0</v>
      </c>
      <c r="G217" s="976" t="s">
        <v>370</v>
      </c>
      <c r="H217" s="1357">
        <v>0</v>
      </c>
      <c r="I217" s="1360">
        <v>0</v>
      </c>
      <c r="J217" s="941">
        <v>0</v>
      </c>
      <c r="K217" s="941">
        <v>0</v>
      </c>
      <c r="L217" s="941">
        <v>0</v>
      </c>
    </row>
    <row r="218" spans="1:12" ht="56.25">
      <c r="A218" s="932"/>
      <c r="B218" s="938" t="s">
        <v>521</v>
      </c>
      <c r="C218" s="933"/>
      <c r="D218" s="934" t="s">
        <v>522</v>
      </c>
      <c r="E218" s="972">
        <f>E220+E221+E222+E223+E224+E225+E219</f>
        <v>7788871</v>
      </c>
      <c r="F218" s="972">
        <f>F220+F221+F222+F223+F224+F225+F219</f>
        <v>243623</v>
      </c>
      <c r="G218" s="972">
        <f>G220+G221+G222+G223+G224+G225+G219</f>
        <v>8032494</v>
      </c>
      <c r="H218" s="972">
        <f>H220+H221+H222+H223+H224+H225+H219</f>
        <v>8014485.44</v>
      </c>
      <c r="I218" s="1361">
        <f t="shared" si="43"/>
        <v>0.9977580362960745</v>
      </c>
      <c r="J218" s="1367">
        <f>J220+J221+J222+J223+J224+J225</f>
        <v>3470041.81</v>
      </c>
      <c r="K218" s="1367">
        <f>K220+K221+K222+K223+K224+K225</f>
        <v>3461411.94</v>
      </c>
      <c r="L218" s="1367">
        <f>L220+L221+L222+L223+L224+L225</f>
        <v>0</v>
      </c>
    </row>
    <row r="219" spans="1:12" ht="33.75">
      <c r="A219" s="932"/>
      <c r="B219" s="986"/>
      <c r="C219" s="1495" t="s">
        <v>97</v>
      </c>
      <c r="D219" s="981" t="s">
        <v>735</v>
      </c>
      <c r="E219" s="1493">
        <v>0</v>
      </c>
      <c r="F219" s="1493"/>
      <c r="G219" s="1494">
        <v>0</v>
      </c>
      <c r="H219" s="1366">
        <v>46.4</v>
      </c>
      <c r="I219" s="1360">
        <v>0</v>
      </c>
      <c r="J219" s="1368">
        <v>0</v>
      </c>
      <c r="K219" s="1368">
        <v>0</v>
      </c>
      <c r="L219" s="1368">
        <v>0</v>
      </c>
    </row>
    <row r="220" spans="1:12" ht="67.5">
      <c r="A220" s="935"/>
      <c r="B220" s="935"/>
      <c r="C220" s="936" t="s">
        <v>517</v>
      </c>
      <c r="D220" s="937" t="s">
        <v>518</v>
      </c>
      <c r="E220" s="973">
        <v>0</v>
      </c>
      <c r="F220" s="973">
        <f aca="true" t="shared" si="56" ref="F220:F225">G220-E220</f>
        <v>0</v>
      </c>
      <c r="G220" s="976" t="s">
        <v>370</v>
      </c>
      <c r="H220" s="1357">
        <v>0</v>
      </c>
      <c r="I220" s="1360">
        <v>0</v>
      </c>
      <c r="J220" s="941">
        <v>0</v>
      </c>
      <c r="K220" s="941">
        <v>0</v>
      </c>
      <c r="L220" s="941">
        <v>0</v>
      </c>
    </row>
    <row r="221" spans="1:12" ht="12.75">
      <c r="A221" s="935"/>
      <c r="B221" s="935"/>
      <c r="C221" s="936" t="s">
        <v>58</v>
      </c>
      <c r="D221" s="937" t="s">
        <v>59</v>
      </c>
      <c r="E221" s="973">
        <v>5000</v>
      </c>
      <c r="F221" s="973">
        <f t="shared" si="56"/>
        <v>500</v>
      </c>
      <c r="G221" s="976">
        <v>5500</v>
      </c>
      <c r="H221" s="1357">
        <v>5387.59</v>
      </c>
      <c r="I221" s="1360">
        <f t="shared" si="43"/>
        <v>0.9795618181818182</v>
      </c>
      <c r="J221" s="941">
        <v>0</v>
      </c>
      <c r="K221" s="941">
        <v>0</v>
      </c>
      <c r="L221" s="941">
        <v>0</v>
      </c>
    </row>
    <row r="222" spans="1:12" ht="22.5">
      <c r="A222" s="935"/>
      <c r="B222" s="935"/>
      <c r="C222" s="936" t="s">
        <v>463</v>
      </c>
      <c r="D222" s="937" t="s">
        <v>464</v>
      </c>
      <c r="E222" s="973">
        <v>40000</v>
      </c>
      <c r="F222" s="973">
        <f t="shared" si="56"/>
        <v>0</v>
      </c>
      <c r="G222" s="976">
        <v>40000</v>
      </c>
      <c r="H222" s="1357">
        <v>32971.98</v>
      </c>
      <c r="I222" s="1360">
        <f t="shared" si="43"/>
        <v>0.8242995000000001</v>
      </c>
      <c r="J222" s="941">
        <v>17782.39</v>
      </c>
      <c r="K222" s="941">
        <v>9152.52</v>
      </c>
      <c r="L222" s="941">
        <v>0</v>
      </c>
    </row>
    <row r="223" spans="1:12" ht="67.5">
      <c r="A223" s="935"/>
      <c r="B223" s="935"/>
      <c r="C223" s="936" t="s">
        <v>373</v>
      </c>
      <c r="D223" s="937" t="s">
        <v>374</v>
      </c>
      <c r="E223" s="973">
        <v>7681871</v>
      </c>
      <c r="F223" s="973">
        <f t="shared" si="56"/>
        <v>243123</v>
      </c>
      <c r="G223" s="976">
        <v>7924994</v>
      </c>
      <c r="H223" s="1357">
        <v>7899774.7</v>
      </c>
      <c r="I223" s="1360">
        <f t="shared" si="43"/>
        <v>0.9968177515339444</v>
      </c>
      <c r="J223" s="941">
        <v>0</v>
      </c>
      <c r="K223" s="941">
        <v>0</v>
      </c>
      <c r="L223" s="941">
        <v>0</v>
      </c>
    </row>
    <row r="224" spans="1:12" ht="54" customHeight="1">
      <c r="A224" s="935"/>
      <c r="B224" s="935"/>
      <c r="C224" s="936" t="s">
        <v>505</v>
      </c>
      <c r="D224" s="981" t="s">
        <v>506</v>
      </c>
      <c r="E224" s="973">
        <v>62000</v>
      </c>
      <c r="F224" s="973">
        <f t="shared" si="56"/>
        <v>0</v>
      </c>
      <c r="G224" s="976" t="s">
        <v>523</v>
      </c>
      <c r="H224" s="1357">
        <v>76304.77</v>
      </c>
      <c r="I224" s="1360">
        <f t="shared" si="43"/>
        <v>1.2307220967741936</v>
      </c>
      <c r="J224" s="941">
        <v>3452259.42</v>
      </c>
      <c r="K224" s="941">
        <v>3452259.42</v>
      </c>
      <c r="L224" s="941">
        <v>0</v>
      </c>
    </row>
    <row r="225" spans="1:12" ht="67.5">
      <c r="A225" s="935"/>
      <c r="B225" s="935"/>
      <c r="C225" s="936" t="s">
        <v>497</v>
      </c>
      <c r="D225" s="937" t="s">
        <v>498</v>
      </c>
      <c r="E225" s="973">
        <v>0</v>
      </c>
      <c r="F225" s="973">
        <f t="shared" si="56"/>
        <v>0</v>
      </c>
      <c r="G225" s="976" t="s">
        <v>370</v>
      </c>
      <c r="H225" s="1357">
        <v>0</v>
      </c>
      <c r="I225" s="1360">
        <v>0</v>
      </c>
      <c r="J225" s="941">
        <v>0</v>
      </c>
      <c r="K225" s="941">
        <v>0</v>
      </c>
      <c r="L225" s="941">
        <v>0</v>
      </c>
    </row>
    <row r="226" spans="1:12" ht="15">
      <c r="A226" s="932"/>
      <c r="B226" s="938" t="s">
        <v>524</v>
      </c>
      <c r="C226" s="933"/>
      <c r="D226" s="934" t="s">
        <v>53</v>
      </c>
      <c r="E226" s="972">
        <f>E227+E228</f>
        <v>0</v>
      </c>
      <c r="F226" s="972">
        <f>F227+F228</f>
        <v>1150</v>
      </c>
      <c r="G226" s="972">
        <f>G227+G228</f>
        <v>1150</v>
      </c>
      <c r="H226" s="972">
        <f>H227+H228</f>
        <v>1120.17</v>
      </c>
      <c r="I226" s="1361">
        <f t="shared" si="43"/>
        <v>0.9740608695652174</v>
      </c>
      <c r="J226" s="1353">
        <f>J227</f>
        <v>0</v>
      </c>
      <c r="K226" s="1353">
        <f>K227</f>
        <v>0</v>
      </c>
      <c r="L226" s="1353">
        <f>L227</f>
        <v>0</v>
      </c>
    </row>
    <row r="227" spans="1:12" ht="67.5">
      <c r="A227" s="935"/>
      <c r="B227" s="935"/>
      <c r="C227" s="936" t="s">
        <v>373</v>
      </c>
      <c r="D227" s="937" t="s">
        <v>374</v>
      </c>
      <c r="E227" s="973">
        <v>0</v>
      </c>
      <c r="F227" s="973">
        <f>G227-E227</f>
        <v>1150</v>
      </c>
      <c r="G227" s="976">
        <v>1150</v>
      </c>
      <c r="H227" s="1357">
        <v>1113.71</v>
      </c>
      <c r="I227" s="1360">
        <f t="shared" si="43"/>
        <v>0.9684434782608696</v>
      </c>
      <c r="J227" s="941">
        <v>0</v>
      </c>
      <c r="K227" s="941">
        <v>0</v>
      </c>
      <c r="L227" s="941">
        <v>0</v>
      </c>
    </row>
    <row r="228" spans="1:12" ht="45">
      <c r="A228" s="935"/>
      <c r="B228" s="935"/>
      <c r="C228" s="984" t="s">
        <v>505</v>
      </c>
      <c r="D228" s="981" t="s">
        <v>506</v>
      </c>
      <c r="E228" s="973">
        <v>0</v>
      </c>
      <c r="F228" s="973"/>
      <c r="G228" s="976">
        <v>0</v>
      </c>
      <c r="H228" s="1363">
        <v>6.46</v>
      </c>
      <c r="I228" s="1360">
        <v>0</v>
      </c>
      <c r="J228" s="942">
        <v>0</v>
      </c>
      <c r="K228" s="941">
        <v>0</v>
      </c>
      <c r="L228" s="941">
        <v>0</v>
      </c>
    </row>
    <row r="229" spans="1:12" ht="15">
      <c r="A229" s="932"/>
      <c r="B229" s="938" t="s">
        <v>525</v>
      </c>
      <c r="C229" s="933"/>
      <c r="D229" s="934" t="s">
        <v>54</v>
      </c>
      <c r="E229" s="972">
        <f>E230+E231+E232</f>
        <v>0</v>
      </c>
      <c r="F229" s="972">
        <f aca="true" t="shared" si="57" ref="F229:L229">F230+F231+F232</f>
        <v>826797</v>
      </c>
      <c r="G229" s="1253">
        <f t="shared" si="57"/>
        <v>826797</v>
      </c>
      <c r="H229" s="1352">
        <f t="shared" si="57"/>
        <v>826196.16</v>
      </c>
      <c r="I229" s="1361">
        <f t="shared" si="43"/>
        <v>0.9992732919930769</v>
      </c>
      <c r="J229" s="1353">
        <f t="shared" si="57"/>
        <v>0</v>
      </c>
      <c r="K229" s="1365">
        <f t="shared" si="57"/>
        <v>0</v>
      </c>
      <c r="L229" s="1365">
        <f t="shared" si="57"/>
        <v>0</v>
      </c>
    </row>
    <row r="230" spans="1:12" ht="67.5">
      <c r="A230" s="935"/>
      <c r="B230" s="935"/>
      <c r="C230" s="936" t="s">
        <v>373</v>
      </c>
      <c r="D230" s="981" t="s">
        <v>374</v>
      </c>
      <c r="E230" s="973">
        <v>0</v>
      </c>
      <c r="F230" s="973">
        <f>G230-E230</f>
        <v>779276</v>
      </c>
      <c r="G230" s="976">
        <v>779276</v>
      </c>
      <c r="H230" s="1357">
        <v>778675.16</v>
      </c>
      <c r="I230" s="1360">
        <f>H230/G230</f>
        <v>0.9992289766398555</v>
      </c>
      <c r="J230" s="941">
        <v>0</v>
      </c>
      <c r="K230" s="941">
        <v>0</v>
      </c>
      <c r="L230" s="941">
        <v>0</v>
      </c>
    </row>
    <row r="231" spans="1:12" ht="45">
      <c r="A231" s="935"/>
      <c r="B231" s="935"/>
      <c r="C231" s="936" t="s">
        <v>465</v>
      </c>
      <c r="D231" s="937" t="s">
        <v>466</v>
      </c>
      <c r="E231" s="973">
        <v>0</v>
      </c>
      <c r="F231" s="973">
        <f>G231-E231</f>
        <v>47521</v>
      </c>
      <c r="G231" s="976">
        <v>47521</v>
      </c>
      <c r="H231" s="1357">
        <v>47521</v>
      </c>
      <c r="I231" s="1360">
        <f aca="true" t="shared" si="58" ref="I231:I269">H231/G231</f>
        <v>1</v>
      </c>
      <c r="J231" s="941">
        <v>0</v>
      </c>
      <c r="K231" s="941">
        <v>0</v>
      </c>
      <c r="L231" s="941">
        <v>0</v>
      </c>
    </row>
    <row r="232" spans="1:12" ht="33.75">
      <c r="A232" s="935"/>
      <c r="B232" s="935"/>
      <c r="C232" s="1473" t="s">
        <v>526</v>
      </c>
      <c r="D232" s="1391" t="s">
        <v>527</v>
      </c>
      <c r="E232" s="1378">
        <v>0</v>
      </c>
      <c r="F232" s="1378">
        <f>G232-E232</f>
        <v>0</v>
      </c>
      <c r="G232" s="1379">
        <v>0</v>
      </c>
      <c r="H232" s="1380">
        <v>0</v>
      </c>
      <c r="I232" s="1381">
        <v>0</v>
      </c>
      <c r="J232" s="1382">
        <v>0</v>
      </c>
      <c r="K232" s="1382">
        <v>0</v>
      </c>
      <c r="L232" s="1382">
        <v>0</v>
      </c>
    </row>
    <row r="233" spans="1:12" ht="67.5">
      <c r="A233" s="935"/>
      <c r="B233" s="1507" t="s">
        <v>859</v>
      </c>
      <c r="C233" s="1508"/>
      <c r="D233" s="1509" t="s">
        <v>496</v>
      </c>
      <c r="E233" s="1522">
        <f>E234</f>
        <v>60919</v>
      </c>
      <c r="F233" s="1522">
        <f>F234</f>
        <v>15200</v>
      </c>
      <c r="G233" s="1522">
        <f>G234</f>
        <v>76119</v>
      </c>
      <c r="H233" s="1522">
        <f>H234</f>
        <v>74556.46</v>
      </c>
      <c r="I233" s="1508"/>
      <c r="J233" s="1522">
        <f>J234</f>
        <v>0</v>
      </c>
      <c r="K233" s="1522">
        <f>K234</f>
        <v>0</v>
      </c>
      <c r="L233" s="1522">
        <f>L234</f>
        <v>0</v>
      </c>
    </row>
    <row r="234" spans="1:12" ht="67.5">
      <c r="A234" s="935"/>
      <c r="B234" s="935"/>
      <c r="C234" s="1477" t="s">
        <v>373</v>
      </c>
      <c r="D234" s="981" t="s">
        <v>374</v>
      </c>
      <c r="E234" s="1383">
        <v>60919</v>
      </c>
      <c r="F234" s="1383">
        <f>G234-E234</f>
        <v>15200</v>
      </c>
      <c r="G234" s="1384">
        <v>76119</v>
      </c>
      <c r="H234" s="1363">
        <v>74556.46</v>
      </c>
      <c r="I234" s="1385">
        <v>0</v>
      </c>
      <c r="J234" s="941">
        <v>0</v>
      </c>
      <c r="K234" s="941">
        <v>0</v>
      </c>
      <c r="L234" s="941">
        <v>0</v>
      </c>
    </row>
    <row r="235" spans="1:12" ht="27.75" customHeight="1">
      <c r="A235" s="965" t="s">
        <v>200</v>
      </c>
      <c r="B235" s="965"/>
      <c r="C235" s="965"/>
      <c r="D235" s="1258" t="s">
        <v>249</v>
      </c>
      <c r="E235" s="1259">
        <f>E238+E246+E251+E243+E236+E249</f>
        <v>3653791.75</v>
      </c>
      <c r="F235" s="1259">
        <f>F238+F246+F251+F243+F236+F249</f>
        <v>10872.2</v>
      </c>
      <c r="G235" s="1259">
        <f>G238+G246+G251+G243+G236+G249</f>
        <v>3664663.95</v>
      </c>
      <c r="H235" s="1259">
        <f>H238+H246+H251+H243+H236+H249</f>
        <v>3388780.94</v>
      </c>
      <c r="I235" s="1459">
        <f t="shared" si="58"/>
        <v>0.9247180604377108</v>
      </c>
      <c r="J235" s="1472">
        <f>J238+J246+J251+J243+J236+J249</f>
        <v>491367.72</v>
      </c>
      <c r="K235" s="1472">
        <f>K238+K246+K251+K243+K236+K249</f>
        <v>452207.32</v>
      </c>
      <c r="L235" s="1472">
        <f>L238+L246+L251+L243+L236+L249</f>
        <v>18609.08</v>
      </c>
    </row>
    <row r="236" spans="1:12" ht="18" customHeight="1">
      <c r="A236" s="1484"/>
      <c r="B236" s="992" t="s">
        <v>201</v>
      </c>
      <c r="C236" s="933"/>
      <c r="D236" s="1486" t="s">
        <v>709</v>
      </c>
      <c r="E236" s="1519">
        <f>E237</f>
        <v>0</v>
      </c>
      <c r="F236" s="1519">
        <f>F237</f>
        <v>0</v>
      </c>
      <c r="G236" s="1519">
        <f>G237</f>
        <v>0</v>
      </c>
      <c r="H236" s="1519">
        <f>H237</f>
        <v>0</v>
      </c>
      <c r="I236" s="1523"/>
      <c r="J236" s="1519">
        <f>J237</f>
        <v>1000</v>
      </c>
      <c r="K236" s="1519">
        <f>K237</f>
        <v>0</v>
      </c>
      <c r="L236" s="1519">
        <f>L237</f>
        <v>0</v>
      </c>
    </row>
    <row r="237" spans="1:12" ht="27.75" customHeight="1">
      <c r="A237" s="1484"/>
      <c r="B237" s="1485"/>
      <c r="C237" s="1487" t="s">
        <v>789</v>
      </c>
      <c r="D237" s="1510" t="s">
        <v>790</v>
      </c>
      <c r="E237" s="1488">
        <v>0</v>
      </c>
      <c r="F237" s="1488"/>
      <c r="G237" s="1489">
        <v>0</v>
      </c>
      <c r="H237" s="1511">
        <v>0</v>
      </c>
      <c r="I237" s="1491">
        <v>0</v>
      </c>
      <c r="J237" s="1512">
        <v>1000</v>
      </c>
      <c r="K237" s="1512">
        <v>0</v>
      </c>
      <c r="L237" s="1512">
        <v>0</v>
      </c>
    </row>
    <row r="238" spans="1:12" ht="15">
      <c r="A238" s="932"/>
      <c r="B238" s="992" t="s">
        <v>528</v>
      </c>
      <c r="C238" s="933"/>
      <c r="D238" s="934" t="s">
        <v>250</v>
      </c>
      <c r="E238" s="972">
        <f>E239+E240+E241+E242</f>
        <v>3588791.75</v>
      </c>
      <c r="F238" s="972">
        <f>F239+F240+F241+F242</f>
        <v>0</v>
      </c>
      <c r="G238" s="1253">
        <f>G239+G240+G241+G242</f>
        <v>3588791.75</v>
      </c>
      <c r="H238" s="1394">
        <f>H239+H240+H241+H242</f>
        <v>3349559.37</v>
      </c>
      <c r="I238" s="1361">
        <f t="shared" si="58"/>
        <v>0.9333390186265336</v>
      </c>
      <c r="J238" s="1353">
        <f>J239+J240+J241+J242</f>
        <v>490367.72</v>
      </c>
      <c r="K238" s="1353">
        <f>K239+K240+K241+K242</f>
        <v>452207.32</v>
      </c>
      <c r="L238" s="1353">
        <f>L239+L240+L241+L242</f>
        <v>18609.08</v>
      </c>
    </row>
    <row r="239" spans="1:12" ht="45">
      <c r="A239" s="935"/>
      <c r="B239" s="935"/>
      <c r="C239" s="936" t="s">
        <v>382</v>
      </c>
      <c r="D239" s="937" t="s">
        <v>383</v>
      </c>
      <c r="E239" s="973">
        <v>3568249.99</v>
      </c>
      <c r="F239" s="973">
        <f>G239-E239</f>
        <v>0</v>
      </c>
      <c r="G239" s="976">
        <v>3568249.99</v>
      </c>
      <c r="H239" s="1357">
        <v>3326268.11</v>
      </c>
      <c r="I239" s="1360">
        <f t="shared" si="58"/>
        <v>0.9321847178089671</v>
      </c>
      <c r="J239" s="941">
        <v>456850.72</v>
      </c>
      <c r="K239" s="941">
        <v>452207.32</v>
      </c>
      <c r="L239" s="941">
        <v>18509.08</v>
      </c>
    </row>
    <row r="240" spans="1:12" ht="33.75">
      <c r="A240" s="935"/>
      <c r="B240" s="935"/>
      <c r="C240" s="936" t="s">
        <v>97</v>
      </c>
      <c r="D240" s="937" t="s">
        <v>442</v>
      </c>
      <c r="E240" s="973">
        <v>12000</v>
      </c>
      <c r="F240" s="973">
        <f>G240-E240</f>
        <v>0</v>
      </c>
      <c r="G240" s="976">
        <v>12000</v>
      </c>
      <c r="H240" s="1357">
        <v>13810.2</v>
      </c>
      <c r="I240" s="1360">
        <f t="shared" si="58"/>
        <v>1.1508500000000002</v>
      </c>
      <c r="J240" s="941">
        <v>0</v>
      </c>
      <c r="K240" s="941">
        <v>0</v>
      </c>
      <c r="L240" s="941">
        <v>0</v>
      </c>
    </row>
    <row r="241" spans="1:12" ht="78.75">
      <c r="A241" s="935"/>
      <c r="B241" s="935"/>
      <c r="C241" s="980" t="s">
        <v>371</v>
      </c>
      <c r="D241" s="937" t="s">
        <v>372</v>
      </c>
      <c r="E241" s="973">
        <v>0</v>
      </c>
      <c r="F241" s="973">
        <f>G241-E241</f>
        <v>0</v>
      </c>
      <c r="G241" s="976">
        <v>0</v>
      </c>
      <c r="H241" s="1357">
        <v>585.36</v>
      </c>
      <c r="I241" s="1360">
        <v>0</v>
      </c>
      <c r="J241" s="941">
        <v>0</v>
      </c>
      <c r="K241" s="941">
        <v>0</v>
      </c>
      <c r="L241" s="941">
        <v>100</v>
      </c>
    </row>
    <row r="242" spans="1:12" ht="22.5">
      <c r="A242" s="935"/>
      <c r="B242" s="935"/>
      <c r="C242" s="1372" t="s">
        <v>431</v>
      </c>
      <c r="D242" s="1391" t="s">
        <v>432</v>
      </c>
      <c r="E242" s="1378">
        <v>8541.76</v>
      </c>
      <c r="F242" s="1378">
        <f>G242-E242</f>
        <v>0</v>
      </c>
      <c r="G242" s="1379">
        <v>8541.76</v>
      </c>
      <c r="H242" s="1380">
        <v>8895.7</v>
      </c>
      <c r="I242" s="1381">
        <v>0</v>
      </c>
      <c r="J242" s="1382">
        <v>33517</v>
      </c>
      <c r="K242" s="1382">
        <v>0</v>
      </c>
      <c r="L242" s="1382">
        <v>0</v>
      </c>
    </row>
    <row r="243" spans="1:12" ht="12.75">
      <c r="A243" s="1371"/>
      <c r="B243" s="1374" t="s">
        <v>211</v>
      </c>
      <c r="C243" s="1375"/>
      <c r="D243" s="1393" t="s">
        <v>252</v>
      </c>
      <c r="E243" s="1386">
        <f>E244+E245</f>
        <v>0</v>
      </c>
      <c r="F243" s="1386">
        <f>F244+F245</f>
        <v>0</v>
      </c>
      <c r="G243" s="1386">
        <f>G244+G245</f>
        <v>0</v>
      </c>
      <c r="H243" s="1386">
        <f>H244+H245</f>
        <v>3320.74</v>
      </c>
      <c r="I243" s="1361">
        <v>0</v>
      </c>
      <c r="J243" s="1387">
        <f>J244+J245</f>
        <v>0</v>
      </c>
      <c r="K243" s="1387">
        <f>K244+K245</f>
        <v>0</v>
      </c>
      <c r="L243" s="1387">
        <f>L244+L245</f>
        <v>0</v>
      </c>
    </row>
    <row r="244" spans="1:12" ht="77.25" customHeight="1">
      <c r="A244" s="935"/>
      <c r="B244" s="935"/>
      <c r="C244" s="984" t="s">
        <v>497</v>
      </c>
      <c r="D244" s="937" t="s">
        <v>498</v>
      </c>
      <c r="E244" s="1383">
        <v>0</v>
      </c>
      <c r="F244" s="1383">
        <v>0</v>
      </c>
      <c r="G244" s="1384">
        <v>0</v>
      </c>
      <c r="H244" s="1363">
        <v>750</v>
      </c>
      <c r="I244" s="1381">
        <v>0</v>
      </c>
      <c r="J244" s="1382">
        <v>0</v>
      </c>
      <c r="K244" s="1382">
        <v>0</v>
      </c>
      <c r="L244" s="1382">
        <v>0</v>
      </c>
    </row>
    <row r="245" spans="1:12" ht="33.75">
      <c r="A245" s="935"/>
      <c r="B245" s="935"/>
      <c r="C245" s="984" t="s">
        <v>835</v>
      </c>
      <c r="D245" s="981" t="s">
        <v>836</v>
      </c>
      <c r="E245" s="1383">
        <v>0</v>
      </c>
      <c r="F245" s="1383">
        <v>0</v>
      </c>
      <c r="G245" s="1384">
        <v>0</v>
      </c>
      <c r="H245" s="1357">
        <v>2570.74</v>
      </c>
      <c r="I245" s="1360">
        <v>0</v>
      </c>
      <c r="J245" s="941">
        <v>0</v>
      </c>
      <c r="K245" s="941">
        <v>0</v>
      </c>
      <c r="L245" s="941">
        <v>0</v>
      </c>
    </row>
    <row r="246" spans="1:12" ht="33.75">
      <c r="A246" s="932"/>
      <c r="B246" s="938" t="s">
        <v>530</v>
      </c>
      <c r="C246" s="933"/>
      <c r="D246" s="934" t="s">
        <v>346</v>
      </c>
      <c r="E246" s="972">
        <f>E248+E247</f>
        <v>55000</v>
      </c>
      <c r="F246" s="972">
        <f>F248+F247</f>
        <v>4400</v>
      </c>
      <c r="G246" s="972">
        <f>G248+G247</f>
        <v>59400</v>
      </c>
      <c r="H246" s="972">
        <f>H248+H247</f>
        <v>18033.379999999997</v>
      </c>
      <c r="I246" s="1392">
        <f t="shared" si="58"/>
        <v>0.30359225589225586</v>
      </c>
      <c r="J246" s="1513">
        <f>J248+J247</f>
        <v>0</v>
      </c>
      <c r="K246" s="1513">
        <f>K248+K247</f>
        <v>0</v>
      </c>
      <c r="L246" s="1513">
        <f>L248+L247</f>
        <v>0</v>
      </c>
    </row>
    <row r="247" spans="1:12" ht="33.75">
      <c r="A247" s="932"/>
      <c r="B247" s="986"/>
      <c r="C247" s="1495" t="s">
        <v>402</v>
      </c>
      <c r="D247" s="1510" t="s">
        <v>860</v>
      </c>
      <c r="E247" s="1493">
        <v>0</v>
      </c>
      <c r="F247" s="1493">
        <f>G247-E247</f>
        <v>4400</v>
      </c>
      <c r="G247" s="1494">
        <v>4400</v>
      </c>
      <c r="H247" s="1366">
        <v>4400</v>
      </c>
      <c r="I247" s="1385">
        <f>H247/G247</f>
        <v>1</v>
      </c>
      <c r="J247" s="1368">
        <v>0</v>
      </c>
      <c r="K247" s="1368">
        <v>0</v>
      </c>
      <c r="L247" s="1368">
        <v>0</v>
      </c>
    </row>
    <row r="248" spans="1:12" ht="12.75">
      <c r="A248" s="935"/>
      <c r="B248" s="935"/>
      <c r="C248" s="1473" t="s">
        <v>91</v>
      </c>
      <c r="D248" s="1391" t="s">
        <v>347</v>
      </c>
      <c r="E248" s="1378">
        <v>55000</v>
      </c>
      <c r="F248" s="1378">
        <f>G248-E248</f>
        <v>0</v>
      </c>
      <c r="G248" s="1379">
        <v>55000</v>
      </c>
      <c r="H248" s="1380">
        <v>13633.38</v>
      </c>
      <c r="I248" s="1381">
        <f t="shared" si="58"/>
        <v>0.24787963636363636</v>
      </c>
      <c r="J248" s="1382">
        <v>0</v>
      </c>
      <c r="K248" s="1382">
        <v>0</v>
      </c>
      <c r="L248" s="1382">
        <v>0</v>
      </c>
    </row>
    <row r="249" spans="1:12" ht="22.5">
      <c r="A249" s="935"/>
      <c r="B249" s="1507" t="s">
        <v>861</v>
      </c>
      <c r="C249" s="1508"/>
      <c r="D249" s="1515" t="s">
        <v>862</v>
      </c>
      <c r="E249" s="1522">
        <f>E250</f>
        <v>0</v>
      </c>
      <c r="F249" s="1522">
        <f>F250</f>
        <v>6472.2</v>
      </c>
      <c r="G249" s="1522">
        <f>G250</f>
        <v>6472.2</v>
      </c>
      <c r="H249" s="1522">
        <f>H250</f>
        <v>6412.15</v>
      </c>
      <c r="I249" s="1508"/>
      <c r="J249" s="1524">
        <f>J250</f>
        <v>0</v>
      </c>
      <c r="K249" s="1524">
        <f>K250</f>
        <v>0</v>
      </c>
      <c r="L249" s="1524">
        <f>L250</f>
        <v>0</v>
      </c>
    </row>
    <row r="250" spans="1:12" ht="56.25">
      <c r="A250" s="935"/>
      <c r="B250" s="935"/>
      <c r="C250" s="1477" t="s">
        <v>384</v>
      </c>
      <c r="D250" s="1481" t="s">
        <v>385</v>
      </c>
      <c r="E250" s="1383">
        <v>0</v>
      </c>
      <c r="F250" s="1383">
        <f>G250-E250</f>
        <v>6472.2</v>
      </c>
      <c r="G250" s="1384">
        <v>6472.2</v>
      </c>
      <c r="H250" s="1363">
        <v>6412.15</v>
      </c>
      <c r="I250" s="1385">
        <f>H250/G250</f>
        <v>0.9907218565557306</v>
      </c>
      <c r="J250" s="941">
        <v>0</v>
      </c>
      <c r="K250" s="941">
        <v>0</v>
      </c>
      <c r="L250" s="941">
        <v>0</v>
      </c>
    </row>
    <row r="251" spans="1:12" ht="15">
      <c r="A251" s="932"/>
      <c r="B251" s="938" t="s">
        <v>531</v>
      </c>
      <c r="C251" s="933"/>
      <c r="D251" s="934" t="s">
        <v>10</v>
      </c>
      <c r="E251" s="972">
        <f>E252+E253</f>
        <v>10000</v>
      </c>
      <c r="F251" s="972">
        <f aca="true" t="shared" si="59" ref="F251:L251">F252+F253</f>
        <v>0</v>
      </c>
      <c r="G251" s="1253">
        <f t="shared" si="59"/>
        <v>10000</v>
      </c>
      <c r="H251" s="1352">
        <f t="shared" si="59"/>
        <v>11455.3</v>
      </c>
      <c r="I251" s="1361">
        <f t="shared" si="58"/>
        <v>1.14553</v>
      </c>
      <c r="J251" s="1365">
        <f t="shared" si="59"/>
        <v>0</v>
      </c>
      <c r="K251" s="1365">
        <f t="shared" si="59"/>
        <v>0</v>
      </c>
      <c r="L251" s="1365">
        <f t="shared" si="59"/>
        <v>0</v>
      </c>
    </row>
    <row r="252" spans="1:12" ht="12.75">
      <c r="A252" s="935"/>
      <c r="B252" s="935"/>
      <c r="C252" s="936" t="s">
        <v>56</v>
      </c>
      <c r="D252" s="937" t="s">
        <v>57</v>
      </c>
      <c r="E252" s="973">
        <v>10000</v>
      </c>
      <c r="F252" s="973">
        <f>G252-E252</f>
        <v>0</v>
      </c>
      <c r="G252" s="976" t="s">
        <v>380</v>
      </c>
      <c r="H252" s="1357">
        <v>11455.3</v>
      </c>
      <c r="I252" s="1360">
        <f t="shared" si="58"/>
        <v>1.14553</v>
      </c>
      <c r="J252" s="941">
        <v>0</v>
      </c>
      <c r="K252" s="941">
        <v>0</v>
      </c>
      <c r="L252" s="941">
        <v>0</v>
      </c>
    </row>
    <row r="253" spans="1:12" ht="12.75">
      <c r="A253" s="935"/>
      <c r="B253" s="935"/>
      <c r="C253" s="980" t="s">
        <v>58</v>
      </c>
      <c r="D253" s="937" t="s">
        <v>59</v>
      </c>
      <c r="E253" s="973">
        <v>0</v>
      </c>
      <c r="F253" s="973">
        <f>G253-E253</f>
        <v>0</v>
      </c>
      <c r="G253" s="976">
        <v>0</v>
      </c>
      <c r="H253" s="1357">
        <v>0</v>
      </c>
      <c r="I253" s="1360">
        <v>0</v>
      </c>
      <c r="J253" s="941">
        <v>0</v>
      </c>
      <c r="K253" s="941">
        <v>0</v>
      </c>
      <c r="L253" s="941">
        <v>0</v>
      </c>
    </row>
    <row r="254" spans="1:12" ht="28.5" customHeight="1">
      <c r="A254" s="965" t="s">
        <v>213</v>
      </c>
      <c r="B254" s="965"/>
      <c r="C254" s="965"/>
      <c r="D254" s="1514" t="s">
        <v>235</v>
      </c>
      <c r="E254" s="1259">
        <f>E255</f>
        <v>25000</v>
      </c>
      <c r="F254" s="1259">
        <f aca="true" t="shared" si="60" ref="F254:L254">F255</f>
        <v>3000</v>
      </c>
      <c r="G254" s="1260">
        <f t="shared" si="60"/>
        <v>28000</v>
      </c>
      <c r="H254" s="1354">
        <f t="shared" si="60"/>
        <v>32902.38</v>
      </c>
      <c r="I254" s="1459">
        <f t="shared" si="58"/>
        <v>1.175085</v>
      </c>
      <c r="J254" s="1355">
        <f t="shared" si="60"/>
        <v>1330.04</v>
      </c>
      <c r="K254" s="1355">
        <f t="shared" si="60"/>
        <v>1177.06</v>
      </c>
      <c r="L254" s="1355">
        <f t="shared" si="60"/>
        <v>840.25</v>
      </c>
    </row>
    <row r="255" spans="1:12" ht="15">
      <c r="A255" s="932"/>
      <c r="B255" s="938" t="s">
        <v>214</v>
      </c>
      <c r="C255" s="933"/>
      <c r="D255" s="934" t="s">
        <v>236</v>
      </c>
      <c r="E255" s="972">
        <f>E257+E258+E256+E259</f>
        <v>25000</v>
      </c>
      <c r="F255" s="972">
        <f>F257+F258+F256+F259</f>
        <v>3000</v>
      </c>
      <c r="G255" s="972">
        <f>G257+G258+G256+G259</f>
        <v>28000</v>
      </c>
      <c r="H255" s="972">
        <f>H257+H258+H256+H259</f>
        <v>32902.38</v>
      </c>
      <c r="I255" s="1361">
        <f t="shared" si="58"/>
        <v>1.175085</v>
      </c>
      <c r="J255" s="1367">
        <f>J257+J258+J256</f>
        <v>1330.04</v>
      </c>
      <c r="K255" s="1367">
        <f>K257+K258+K256</f>
        <v>1177.06</v>
      </c>
      <c r="L255" s="1367">
        <f>L257+L258+L256</f>
        <v>840.25</v>
      </c>
    </row>
    <row r="256" spans="1:12" s="1246" customFormat="1" ht="33.75">
      <c r="A256" s="1245"/>
      <c r="B256" s="1245"/>
      <c r="C256" s="1370" t="s">
        <v>402</v>
      </c>
      <c r="D256" s="937" t="s">
        <v>403</v>
      </c>
      <c r="E256" s="990">
        <v>0</v>
      </c>
      <c r="F256" s="990">
        <v>0</v>
      </c>
      <c r="G256" s="991">
        <v>0</v>
      </c>
      <c r="H256" s="1366">
        <v>497.04</v>
      </c>
      <c r="I256" s="1360">
        <v>0</v>
      </c>
      <c r="J256" s="1368">
        <v>0</v>
      </c>
      <c r="K256" s="1368">
        <v>0</v>
      </c>
      <c r="L256" s="1368">
        <v>0</v>
      </c>
    </row>
    <row r="257" spans="1:12" ht="12.75">
      <c r="A257" s="935"/>
      <c r="B257" s="935"/>
      <c r="C257" s="936" t="s">
        <v>56</v>
      </c>
      <c r="D257" s="937" t="s">
        <v>57</v>
      </c>
      <c r="E257" s="973">
        <v>25000</v>
      </c>
      <c r="F257" s="973">
        <f>G257-E257</f>
        <v>3000</v>
      </c>
      <c r="G257" s="976">
        <v>28000</v>
      </c>
      <c r="H257" s="1357">
        <v>30374.19</v>
      </c>
      <c r="I257" s="1360">
        <f t="shared" si="58"/>
        <v>1.0847925</v>
      </c>
      <c r="J257" s="941">
        <v>1091.53</v>
      </c>
      <c r="K257" s="941">
        <v>938.55</v>
      </c>
      <c r="L257" s="941">
        <v>840.25</v>
      </c>
    </row>
    <row r="258" spans="1:12" ht="12.75">
      <c r="A258" s="935"/>
      <c r="B258" s="935"/>
      <c r="C258" s="980" t="s">
        <v>58</v>
      </c>
      <c r="D258" s="937" t="s">
        <v>59</v>
      </c>
      <c r="E258" s="973">
        <v>0</v>
      </c>
      <c r="F258" s="973">
        <f>G258-E258</f>
        <v>0</v>
      </c>
      <c r="G258" s="976">
        <v>0</v>
      </c>
      <c r="H258" s="1357">
        <v>522.75</v>
      </c>
      <c r="I258" s="1360">
        <v>0</v>
      </c>
      <c r="J258" s="941">
        <v>238.51</v>
      </c>
      <c r="K258" s="941">
        <v>238.51</v>
      </c>
      <c r="L258" s="941">
        <v>0</v>
      </c>
    </row>
    <row r="259" spans="1:12" ht="22.5">
      <c r="A259" s="935"/>
      <c r="B259" s="935"/>
      <c r="C259" s="984" t="s">
        <v>463</v>
      </c>
      <c r="D259" s="981" t="s">
        <v>464</v>
      </c>
      <c r="E259" s="973">
        <v>0</v>
      </c>
      <c r="F259" s="973"/>
      <c r="G259" s="976">
        <v>0</v>
      </c>
      <c r="H259" s="1363">
        <v>1508.4</v>
      </c>
      <c r="I259" s="1360">
        <v>0</v>
      </c>
      <c r="J259" s="941">
        <v>0</v>
      </c>
      <c r="K259" s="941">
        <v>0</v>
      </c>
      <c r="L259" s="941">
        <v>0</v>
      </c>
    </row>
    <row r="260" spans="1:12" ht="21.75" customHeight="1">
      <c r="A260" s="965" t="s">
        <v>220</v>
      </c>
      <c r="B260" s="965"/>
      <c r="C260" s="965"/>
      <c r="D260" s="1258" t="s">
        <v>320</v>
      </c>
      <c r="E260" s="1259">
        <f>E261+E266</f>
        <v>350000</v>
      </c>
      <c r="F260" s="1259">
        <f aca="true" t="shared" si="61" ref="F260:L260">F261+F266</f>
        <v>80664.88999999998</v>
      </c>
      <c r="G260" s="1260">
        <f t="shared" si="61"/>
        <v>430664.89</v>
      </c>
      <c r="H260" s="1354">
        <f t="shared" si="61"/>
        <v>430664.89</v>
      </c>
      <c r="I260" s="1459">
        <f t="shared" si="58"/>
        <v>1</v>
      </c>
      <c r="J260" s="1472">
        <f t="shared" si="61"/>
        <v>0</v>
      </c>
      <c r="K260" s="1472">
        <f t="shared" si="61"/>
        <v>0</v>
      </c>
      <c r="L260" s="1472">
        <f t="shared" si="61"/>
        <v>0</v>
      </c>
    </row>
    <row r="261" spans="1:12" ht="15">
      <c r="A261" s="932"/>
      <c r="B261" s="938" t="s">
        <v>221</v>
      </c>
      <c r="C261" s="933"/>
      <c r="D261" s="934" t="s">
        <v>321</v>
      </c>
      <c r="E261" s="972">
        <f>E262+E263+E265+E264</f>
        <v>350000</v>
      </c>
      <c r="F261" s="972">
        <f>F262+F263+F265+F264</f>
        <v>60237.879999999976</v>
      </c>
      <c r="G261" s="972">
        <f>G262+G263+G265+G264</f>
        <v>410237.88</v>
      </c>
      <c r="H261" s="972">
        <f>H262+H263+H265+H264</f>
        <v>410237.88</v>
      </c>
      <c r="I261" s="1361">
        <f t="shared" si="58"/>
        <v>1</v>
      </c>
      <c r="J261" s="1353">
        <f>J262+J263+J265+J264</f>
        <v>0</v>
      </c>
      <c r="K261" s="1353">
        <f>K262+K263+K265+K264</f>
        <v>0</v>
      </c>
      <c r="L261" s="1353">
        <f>L262+L263+L265+L264</f>
        <v>0</v>
      </c>
    </row>
    <row r="262" spans="1:12" ht="56.25">
      <c r="A262" s="935"/>
      <c r="B262" s="935"/>
      <c r="C262" s="936" t="s">
        <v>367</v>
      </c>
      <c r="D262" s="937" t="s">
        <v>368</v>
      </c>
      <c r="E262" s="973">
        <v>0</v>
      </c>
      <c r="F262" s="973">
        <f>G262-E262</f>
        <v>80000</v>
      </c>
      <c r="G262" s="976">
        <v>80000</v>
      </c>
      <c r="H262" s="1357">
        <v>80000</v>
      </c>
      <c r="I262" s="1360">
        <f t="shared" si="58"/>
        <v>1</v>
      </c>
      <c r="J262" s="941">
        <v>0</v>
      </c>
      <c r="K262" s="941">
        <v>0</v>
      </c>
      <c r="L262" s="941">
        <v>0</v>
      </c>
    </row>
    <row r="263" spans="1:12" ht="90">
      <c r="A263" s="935"/>
      <c r="B263" s="935"/>
      <c r="C263" s="936" t="s">
        <v>532</v>
      </c>
      <c r="D263" s="937" t="s">
        <v>533</v>
      </c>
      <c r="E263" s="973">
        <v>255000</v>
      </c>
      <c r="F263" s="973">
        <f>G263-E263</f>
        <v>37740.28999999998</v>
      </c>
      <c r="G263" s="976">
        <v>292740.29</v>
      </c>
      <c r="H263" s="1357">
        <v>292740.29</v>
      </c>
      <c r="I263" s="1360">
        <f t="shared" si="58"/>
        <v>1</v>
      </c>
      <c r="J263" s="941">
        <v>0</v>
      </c>
      <c r="K263" s="941">
        <v>0</v>
      </c>
      <c r="L263" s="941">
        <v>0</v>
      </c>
    </row>
    <row r="264" spans="1:12" ht="90">
      <c r="A264" s="935"/>
      <c r="B264" s="935"/>
      <c r="C264" s="984" t="s">
        <v>863</v>
      </c>
      <c r="D264" s="937" t="s">
        <v>533</v>
      </c>
      <c r="E264" s="973">
        <v>45000</v>
      </c>
      <c r="F264" s="973">
        <f>G264-E264</f>
        <v>-7502.4100000000035</v>
      </c>
      <c r="G264" s="976">
        <v>37497.59</v>
      </c>
      <c r="H264" s="1357">
        <v>37497.59</v>
      </c>
      <c r="I264" s="1360">
        <f t="shared" si="58"/>
        <v>1</v>
      </c>
      <c r="J264" s="941">
        <v>0</v>
      </c>
      <c r="K264" s="941">
        <v>0</v>
      </c>
      <c r="L264" s="941">
        <v>0</v>
      </c>
    </row>
    <row r="265" spans="1:12" ht="56.25">
      <c r="A265" s="935"/>
      <c r="B265" s="935"/>
      <c r="C265" s="936" t="s">
        <v>534</v>
      </c>
      <c r="D265" s="937" t="s">
        <v>535</v>
      </c>
      <c r="E265" s="973">
        <v>50000</v>
      </c>
      <c r="F265" s="973">
        <f>G265-E265</f>
        <v>-50000</v>
      </c>
      <c r="G265" s="976" t="s">
        <v>370</v>
      </c>
      <c r="H265" s="1357">
        <v>0</v>
      </c>
      <c r="I265" s="1360">
        <v>0</v>
      </c>
      <c r="J265" s="941">
        <v>0</v>
      </c>
      <c r="K265" s="941">
        <v>0</v>
      </c>
      <c r="L265" s="941">
        <v>0</v>
      </c>
    </row>
    <row r="266" spans="1:12" ht="15">
      <c r="A266" s="932"/>
      <c r="B266" s="938" t="s">
        <v>338</v>
      </c>
      <c r="C266" s="933"/>
      <c r="D266" s="934" t="s">
        <v>10</v>
      </c>
      <c r="E266" s="972">
        <f>E267+E268</f>
        <v>0</v>
      </c>
      <c r="F266" s="972">
        <f aca="true" t="shared" si="62" ref="F266:L266">F267+F268</f>
        <v>20427.010000000002</v>
      </c>
      <c r="G266" s="1253">
        <f t="shared" si="62"/>
        <v>20427.010000000002</v>
      </c>
      <c r="H266" s="1352">
        <f t="shared" si="62"/>
        <v>20427.010000000002</v>
      </c>
      <c r="I266" s="1361">
        <f t="shared" si="58"/>
        <v>1</v>
      </c>
      <c r="J266" s="1353">
        <f t="shared" si="62"/>
        <v>0</v>
      </c>
      <c r="K266" s="1353">
        <f t="shared" si="62"/>
        <v>0</v>
      </c>
      <c r="L266" s="1353">
        <f t="shared" si="62"/>
        <v>0</v>
      </c>
    </row>
    <row r="267" spans="1:12" ht="12.75">
      <c r="A267" s="935"/>
      <c r="B267" s="935"/>
      <c r="C267" s="936" t="s">
        <v>60</v>
      </c>
      <c r="D267" s="937" t="s">
        <v>61</v>
      </c>
      <c r="E267" s="973">
        <v>0</v>
      </c>
      <c r="F267" s="973">
        <f>G267-E267</f>
        <v>18666.68</v>
      </c>
      <c r="G267" s="976">
        <v>18666.68</v>
      </c>
      <c r="H267" s="1357">
        <v>18666.68</v>
      </c>
      <c r="I267" s="1360">
        <f t="shared" si="58"/>
        <v>1</v>
      </c>
      <c r="J267" s="941">
        <v>0</v>
      </c>
      <c r="K267" s="941">
        <v>0</v>
      </c>
      <c r="L267" s="941">
        <v>0</v>
      </c>
    </row>
    <row r="268" spans="1:12" ht="67.5">
      <c r="A268" s="935"/>
      <c r="B268" s="935"/>
      <c r="C268" s="984" t="s">
        <v>497</v>
      </c>
      <c r="D268" s="937" t="s">
        <v>498</v>
      </c>
      <c r="E268" s="1248">
        <v>0</v>
      </c>
      <c r="F268" s="973">
        <f>G268-E268</f>
        <v>1760.33</v>
      </c>
      <c r="G268" s="1249">
        <v>1760.33</v>
      </c>
      <c r="H268" s="1357">
        <v>1760.33</v>
      </c>
      <c r="I268" s="1360">
        <f>H268/G268</f>
        <v>1</v>
      </c>
      <c r="J268" s="941">
        <v>0</v>
      </c>
      <c r="K268" s="941">
        <v>0</v>
      </c>
      <c r="L268" s="941">
        <v>0</v>
      </c>
    </row>
    <row r="269" spans="1:12" ht="16.5" customHeight="1">
      <c r="A269" s="1683" t="s">
        <v>339</v>
      </c>
      <c r="B269" s="1683"/>
      <c r="C269" s="1683"/>
      <c r="D269" s="1683"/>
      <c r="E269" s="1257">
        <f>E260+E254+E235+E210+E206+E202+E170+E167+E132+E113+E79+E72+E65+E51+E36+E22+E19+E16+E8+E33</f>
        <v>76028115.31</v>
      </c>
      <c r="F269" s="1257">
        <f>F260+F254+F235+F210+F206+F202+F170+F167+F132+F113+F79+F72+F65+F51+F36+F22+F19+F16+F8+F33</f>
        <v>13430984.16</v>
      </c>
      <c r="G269" s="1257">
        <f>G260+G254+G235+G210+G206+G202+G170+G167+G132+G113+G79+G72+G65+G51+G36+G22+G19+G16+G8+G33</f>
        <v>89459099.47</v>
      </c>
      <c r="H269" s="1257">
        <f>H260+H254+H235+H210+H206+H202+H170+H167+H132+H113+H79+H72+H65+H51+H36+H22+H19+H16+H8+H33</f>
        <v>89897267.81000002</v>
      </c>
      <c r="I269" s="1419">
        <f t="shared" si="58"/>
        <v>1.0048979739634754</v>
      </c>
      <c r="J269" s="1356">
        <f>J260+J254+J235+J210+J206+J202+J170+J167+J132+J113+J79+J72+J65+J51+J36+J22+J19+J16+J8+J33</f>
        <v>7705785.64</v>
      </c>
      <c r="K269" s="1356">
        <f>K260+K254+K235+K210+K206+K202+K170+K167+K132+K113+K79+K72+K65+K51+K36+K22+K19+K16+K8+K33</f>
        <v>6608036.51</v>
      </c>
      <c r="L269" s="1356">
        <f>L260+L254+L235+L210+L206+L202+L170+L167+L132+L113+L79+L72+L65+L51+L36+L22+L19+L16+L8+L33</f>
        <v>52681.67000000001</v>
      </c>
    </row>
    <row r="270" ht="12.75">
      <c r="I270" s="1252"/>
    </row>
    <row r="271" spans="3:12" ht="12.75">
      <c r="C271" s="1270"/>
      <c r="D271" s="1271" t="s">
        <v>340</v>
      </c>
      <c r="E271" s="1395"/>
      <c r="F271" s="1395"/>
      <c r="G271" s="1395"/>
      <c r="H271" s="1395"/>
      <c r="I271" s="1395"/>
      <c r="J271" s="1395"/>
      <c r="K271" s="1395"/>
      <c r="L271" s="1395"/>
    </row>
    <row r="272" spans="3:12" ht="28.5" customHeight="1">
      <c r="C272" s="1282" t="s">
        <v>101</v>
      </c>
      <c r="D272" s="1282" t="s">
        <v>807</v>
      </c>
      <c r="E272" s="1288">
        <f>E269-E282</f>
        <v>74300715.31</v>
      </c>
      <c r="F272" s="1288">
        <f aca="true" t="shared" si="63" ref="F272:L272">F269-F282</f>
        <v>13013842.8</v>
      </c>
      <c r="G272" s="1421">
        <f t="shared" si="63"/>
        <v>87707958.11</v>
      </c>
      <c r="H272" s="1423">
        <f t="shared" si="63"/>
        <v>86801144.80000001</v>
      </c>
      <c r="I272" s="1422">
        <f>H272/G272</f>
        <v>0.9896609916643745</v>
      </c>
      <c r="J272" s="1288">
        <f t="shared" si="63"/>
        <v>7676155.71</v>
      </c>
      <c r="K272" s="1288">
        <f t="shared" si="63"/>
        <v>6594560.46</v>
      </c>
      <c r="L272" s="1288">
        <f t="shared" si="63"/>
        <v>52157.51000000001</v>
      </c>
    </row>
    <row r="273" spans="3:12" ht="12.75">
      <c r="C273" s="1461"/>
      <c r="D273" s="1462" t="s">
        <v>92</v>
      </c>
      <c r="E273" s="1297"/>
      <c r="F273" s="1297"/>
      <c r="G273" s="1297"/>
      <c r="H273" s="1297"/>
      <c r="I273" s="1420"/>
      <c r="J273" s="1297"/>
      <c r="K273" s="1297"/>
      <c r="L273" s="1297"/>
    </row>
    <row r="274" spans="3:12" ht="22.5">
      <c r="C274" s="1293" t="s">
        <v>795</v>
      </c>
      <c r="D274" s="1294" t="s">
        <v>808</v>
      </c>
      <c r="E274" s="1287">
        <f aca="true" t="shared" si="64" ref="E274:H275">E111</f>
        <v>13131081</v>
      </c>
      <c r="F274" s="1287">
        <f t="shared" si="64"/>
        <v>0</v>
      </c>
      <c r="G274" s="1424">
        <f t="shared" si="64"/>
        <v>13131081</v>
      </c>
      <c r="H274" s="1427">
        <f t="shared" si="64"/>
        <v>13255199</v>
      </c>
      <c r="I274" s="1426">
        <f>H274/G274</f>
        <v>1.0094522301705398</v>
      </c>
      <c r="J274" s="1287">
        <f aca="true" t="shared" si="65" ref="J274:L275">J111</f>
        <v>2082</v>
      </c>
      <c r="K274" s="1287">
        <f t="shared" si="65"/>
        <v>2082</v>
      </c>
      <c r="L274" s="1287">
        <f t="shared" si="65"/>
        <v>0</v>
      </c>
    </row>
    <row r="275" spans="3:12" ht="22.5">
      <c r="C275" s="1293" t="s">
        <v>797</v>
      </c>
      <c r="D275" s="1294" t="s">
        <v>809</v>
      </c>
      <c r="E275" s="1287">
        <f t="shared" si="64"/>
        <v>1500000</v>
      </c>
      <c r="F275" s="1287">
        <f t="shared" si="64"/>
        <v>0</v>
      </c>
      <c r="G275" s="1424" t="str">
        <f t="shared" si="64"/>
        <v>1 500 000,00</v>
      </c>
      <c r="H275" s="1427">
        <f t="shared" si="64"/>
        <v>764388.62</v>
      </c>
      <c r="I275" s="1426">
        <f>H275/G275</f>
        <v>0.5095924133333334</v>
      </c>
      <c r="J275" s="1287">
        <f t="shared" si="65"/>
        <v>0</v>
      </c>
      <c r="K275" s="1287">
        <f t="shared" si="65"/>
        <v>0</v>
      </c>
      <c r="L275" s="1287">
        <f t="shared" si="65"/>
        <v>0</v>
      </c>
    </row>
    <row r="276" spans="3:12" ht="12.75">
      <c r="C276" s="1293" t="s">
        <v>799</v>
      </c>
      <c r="D276" s="1294" t="s">
        <v>810</v>
      </c>
      <c r="E276" s="1292">
        <f>E248+E240+E239+E145+E144+E120+E108+E106+E105+E101+E100+E99+E98+E96+E95+E94+E93+E89+E88+E87+E86+E85+E84+E81+E57+E40+E39+E38+E28+E26+E21+E107</f>
        <v>16061633.99</v>
      </c>
      <c r="F276" s="1292">
        <f aca="true" t="shared" si="66" ref="F276:K276">F248+F240+F239+F145+F144+F120+F108+F106+F105+F101+F100+F99+F98+F96+F95+F94+F93+F89+F88+F87+F86+F85+F84+F81+F57+F40+F39+F38+F28+F26+F21+F107</f>
        <v>554017</v>
      </c>
      <c r="G276" s="1425">
        <f t="shared" si="66"/>
        <v>16615650.99</v>
      </c>
      <c r="H276" s="1428">
        <f t="shared" si="66"/>
        <v>16649597.320000002</v>
      </c>
      <c r="I276" s="1426">
        <f>H276/G276</f>
        <v>1.0020430334038932</v>
      </c>
      <c r="J276" s="1292">
        <f t="shared" si="66"/>
        <v>3220039.2999999993</v>
      </c>
      <c r="K276" s="1292">
        <f t="shared" si="66"/>
        <v>3068459.3999999994</v>
      </c>
      <c r="L276" s="1292">
        <f>L248+L240+L239+L145+L144+L120+L108+L106+L105+L101+L100+L99+L98+L96+L95+L94+L93+L89+L88+L87+L86+L85+L84+L81+L57+L40+L39+L38+L28+M26+L21+L107</f>
        <v>50945.600000000006</v>
      </c>
    </row>
    <row r="277" spans="3:12" ht="12.75">
      <c r="C277" s="1293" t="s">
        <v>801</v>
      </c>
      <c r="D277" s="1294" t="s">
        <v>811</v>
      </c>
      <c r="E277" s="1292">
        <f>E131+E117+E115</f>
        <v>19990389</v>
      </c>
      <c r="F277" s="1292">
        <f>F131+F117+F115</f>
        <v>315026</v>
      </c>
      <c r="G277" s="1425">
        <f>G131+G117+G115</f>
        <v>20305415</v>
      </c>
      <c r="H277" s="1428">
        <f>H131+H117+H115</f>
        <v>20305415</v>
      </c>
      <c r="I277" s="1426">
        <f>H277/G277</f>
        <v>1</v>
      </c>
      <c r="J277" s="1292">
        <f>J131+J117+J115</f>
        <v>0</v>
      </c>
      <c r="K277" s="1292">
        <f>K131+K117+K115</f>
        <v>0</v>
      </c>
      <c r="L277" s="1292">
        <f>L131+L117+L115</f>
        <v>0</v>
      </c>
    </row>
    <row r="278" spans="3:12" ht="12.75">
      <c r="C278" s="1293" t="s">
        <v>803</v>
      </c>
      <c r="D278" s="1294" t="s">
        <v>812</v>
      </c>
      <c r="E278" s="1292">
        <v>22123909.56</v>
      </c>
      <c r="F278" s="1292">
        <f>F262+F231+F230+F227+F223+F216+F209+F208+F205+F204+F201+F198+F197+F193+F189+F186+F184+F180+F179+F174+F164+F163+F162+F161+F158+F148+F142+F138+F126+F125+F75+F69+F62+F53+F24+F15+F10+F156+F149+F67+F30+F232</f>
        <v>9020980</v>
      </c>
      <c r="G278" s="1425">
        <v>31478512.43</v>
      </c>
      <c r="H278" s="1428">
        <f>H262+H231+H230+H227+H223+H216+H209+H208+H205+H204+H201+H198+H197+H193+H189+H186+H184+H180+H179+H174+H164+H163+H162+H161+H158+H148+H142+H138+H126+H125+H75+H69+H62+H53+H24+H15+H10+H156+H149+H67+H30+H232</f>
        <v>30784424.249999993</v>
      </c>
      <c r="I278" s="1426">
        <f>H278/G278</f>
        <v>0.9779504135863002</v>
      </c>
      <c r="J278" s="1292">
        <f>J262+J231+J230+J227+J223+J216+J209+J208+J205+J204+J201+J198+J197+J193+J189+J186+J184+J180+J179+J174+J164+J163+J162+J161+J158+J148+J142+J138+J126+J125+J75+J69+J62+J53+J24+J15+J10+J156+J149+J67+J30+J232</f>
        <v>0</v>
      </c>
      <c r="K278" s="1292">
        <f>K262+K231+K230+K227+K223+K216+K209+K208+K205+K204+K201+K198+K197+K193+K189+K186+K184+K180+K179+K174+K164+K163+K162+K161+K158+K148+K142+K138+K126+K125+K75+K69+K62+K53+K24+K15+K10+K156+K149+K67+K30+K232</f>
        <v>0</v>
      </c>
      <c r="L278" s="1292">
        <f>L262+L231+L230+L227+L223+L216+L209+L208+L205+L204+L201+L198+L197+L193+L189+L186+L184+L180+L179+L174+L164+L163+L162+L161+L158+L148+L142+L138+L126+L125+L75+L69+L62+L53+L24+L15+L10+L156+L149+L67+L30+L232</f>
        <v>0</v>
      </c>
    </row>
    <row r="279" spans="3:12" ht="12.75">
      <c r="C279" s="1467"/>
      <c r="D279" s="1464" t="s">
        <v>92</v>
      </c>
      <c r="E279" s="1290"/>
      <c r="F279" s="1290"/>
      <c r="G279" s="1290"/>
      <c r="H279" s="1290"/>
      <c r="I279" s="1291"/>
      <c r="J279" s="1290"/>
      <c r="K279" s="1290"/>
      <c r="L279" s="1290"/>
    </row>
    <row r="280" spans="3:12" ht="52.5">
      <c r="C280" s="1273"/>
      <c r="D280" s="1298" t="s">
        <v>813</v>
      </c>
      <c r="E280" s="1299">
        <f>E205+E204+E164+E163+E162+E161</f>
        <v>350949.56</v>
      </c>
      <c r="F280" s="1299">
        <f aca="true" t="shared" si="67" ref="F280:L280">F205+F204+F164+F163+F162+F161</f>
        <v>-286829.82999999996</v>
      </c>
      <c r="G280" s="1429">
        <f t="shared" si="67"/>
        <v>64119.729999999996</v>
      </c>
      <c r="H280" s="1433">
        <f t="shared" si="67"/>
        <v>-86021.87</v>
      </c>
      <c r="I280" s="1431">
        <f>H280/G280</f>
        <v>-1.3415819124628254</v>
      </c>
      <c r="J280" s="1299">
        <f t="shared" si="67"/>
        <v>0</v>
      </c>
      <c r="K280" s="1299">
        <f t="shared" si="67"/>
        <v>0</v>
      </c>
      <c r="L280" s="1299">
        <f t="shared" si="67"/>
        <v>0</v>
      </c>
    </row>
    <row r="281" spans="3:12" ht="12.75">
      <c r="C281" s="1293" t="s">
        <v>814</v>
      </c>
      <c r="D281" s="1295" t="s">
        <v>815</v>
      </c>
      <c r="E281" s="1289">
        <f>E268+E267+E257+E258+E253+E252+E242+E241+E225+E224+E222+E221+E220+E217+E215+E214+E213+E199+E196+E190+E188+E181+E178+E175+E169+E160+E155+E153+E147+E146+E141+E137+E136+E135+E127+E124+E123+E122+E121+E119+E103+E102+E91+E90+E82+E74+E61+E59+E54+E47+E46+E45+E41+E42+E29+E27+E14+E13+E56+E256+E151+E244+E134+E109</f>
        <v>1493701.76</v>
      </c>
      <c r="F281" s="1289">
        <f aca="true" t="shared" si="68" ref="F281:L281">F268+F267+F257+F258+F253+F252+F242+F241+F225+F224+F222+F221+F220+F217+F215+F214+F213+F199+F196+F190+F188+F181+F178+F175+F169+F160+F155+F153+F147+F146+F141+F137+F136+F135+F127+F124+F123+F122+F121+F119+F103+F102+F91+F90+F82+F74+F61+F59+F54+F47+F46+F45+F41+F42+F29+F27+F14+F13+F56+F256+F151+F244+F134+F109</f>
        <v>201618.67</v>
      </c>
      <c r="G281" s="1430">
        <f t="shared" si="68"/>
        <v>1695320.43</v>
      </c>
      <c r="H281" s="1434">
        <f t="shared" si="68"/>
        <v>1659220.74</v>
      </c>
      <c r="I281" s="1432">
        <f>H281/G281</f>
        <v>0.9787062732441678</v>
      </c>
      <c r="J281" s="1289">
        <f t="shared" si="68"/>
        <v>4436470.880000001</v>
      </c>
      <c r="K281" s="1289">
        <f t="shared" si="68"/>
        <v>3516521.23</v>
      </c>
      <c r="L281" s="1289">
        <f t="shared" si="68"/>
        <v>1211.91</v>
      </c>
    </row>
    <row r="282" spans="3:12" ht="21" customHeight="1">
      <c r="C282" s="1283" t="s">
        <v>103</v>
      </c>
      <c r="D282" s="1284" t="s">
        <v>821</v>
      </c>
      <c r="E282" s="1288">
        <f>E284+E285+E286+E287</f>
        <v>1727400</v>
      </c>
      <c r="F282" s="1288">
        <f>F284+F285+F286+F287</f>
        <v>417141.36</v>
      </c>
      <c r="G282" s="1421">
        <f>G284+G285+G286+G287</f>
        <v>1751141.3599999999</v>
      </c>
      <c r="H282" s="1423">
        <f>H284+H285+H286+H287</f>
        <v>3096123.01</v>
      </c>
      <c r="I282" s="1422">
        <f>H282/G282</f>
        <v>1.7680600097298826</v>
      </c>
      <c r="J282" s="1288">
        <f>J284+J285+J286+J287+J290</f>
        <v>29629.93</v>
      </c>
      <c r="K282" s="1288">
        <f>K284+K285+K286+K287+K290</f>
        <v>13476.050000000001</v>
      </c>
      <c r="L282" s="1288">
        <f>L284+L285+L286+L287+L290</f>
        <v>524.16</v>
      </c>
    </row>
    <row r="283" spans="3:12" ht="12.75">
      <c r="C283" s="1463"/>
      <c r="D283" s="1464" t="s">
        <v>92</v>
      </c>
      <c r="E283" s="1280"/>
      <c r="F283" s="1280"/>
      <c r="G283" s="1280"/>
      <c r="H283" s="1280"/>
      <c r="I283" s="1281"/>
      <c r="J283" s="1280"/>
      <c r="K283" s="1280"/>
      <c r="L283" s="1280"/>
    </row>
    <row r="284" spans="3:12" ht="20.25" customHeight="1">
      <c r="C284" s="1293" t="s">
        <v>795</v>
      </c>
      <c r="D284" s="1294" t="s">
        <v>816</v>
      </c>
      <c r="E284" s="1287">
        <f>E44+E64+E58+E18</f>
        <v>1000000</v>
      </c>
      <c r="F284" s="1287">
        <f>F44+F64+F58+F18</f>
        <v>0</v>
      </c>
      <c r="G284" s="1424">
        <f>G44+G64+G58+G18</f>
        <v>1000000</v>
      </c>
      <c r="H284" s="1427">
        <f>H44+H64+H58+H18</f>
        <v>1131554.9</v>
      </c>
      <c r="I284" s="1426">
        <f>H284/G284</f>
        <v>1.1315548999999998</v>
      </c>
      <c r="J284" s="1296">
        <f>J44+J64+J58+J18</f>
        <v>13264.62</v>
      </c>
      <c r="K284" s="1296">
        <f>K44+K64+K58+K18</f>
        <v>13264.62</v>
      </c>
      <c r="L284" s="1296">
        <f>L44+L64+L58+L18</f>
        <v>0</v>
      </c>
    </row>
    <row r="285" spans="3:12" ht="50.25" customHeight="1">
      <c r="C285" s="1293" t="s">
        <v>797</v>
      </c>
      <c r="D285" s="1294" t="s">
        <v>817</v>
      </c>
      <c r="E285" s="1287">
        <f>E43</f>
        <v>29000</v>
      </c>
      <c r="F285" s="1287">
        <f>F43</f>
        <v>0</v>
      </c>
      <c r="G285" s="1424">
        <f>G43</f>
        <v>29000</v>
      </c>
      <c r="H285" s="1427">
        <f>H43</f>
        <v>34792.73</v>
      </c>
      <c r="I285" s="1426">
        <f>H285/G285</f>
        <v>1.1997493103448278</v>
      </c>
      <c r="J285" s="1287">
        <f>J43</f>
        <v>16365.31</v>
      </c>
      <c r="K285" s="1287">
        <f>K43</f>
        <v>211.43</v>
      </c>
      <c r="L285" s="1287">
        <f>L43</f>
        <v>524.16</v>
      </c>
    </row>
    <row r="286" spans="3:12" ht="49.5" customHeight="1">
      <c r="C286" s="1293" t="s">
        <v>799</v>
      </c>
      <c r="D286" s="1294" t="s">
        <v>468</v>
      </c>
      <c r="E286" s="1287">
        <f>E129</f>
        <v>0</v>
      </c>
      <c r="F286" s="1287">
        <f>F129</f>
        <v>193244.76</v>
      </c>
      <c r="G286" s="1424">
        <f>G129</f>
        <v>193244.76</v>
      </c>
      <c r="H286" s="1427">
        <f>H129</f>
        <v>193244.76</v>
      </c>
      <c r="I286" s="1426">
        <f>H286/G286</f>
        <v>1</v>
      </c>
      <c r="J286" s="1287">
        <f>J129</f>
        <v>0</v>
      </c>
      <c r="K286" s="1287">
        <f>K129</f>
        <v>0</v>
      </c>
      <c r="L286" s="1287">
        <f>L129</f>
        <v>0</v>
      </c>
    </row>
    <row r="287" spans="3:12" ht="20.25" customHeight="1">
      <c r="C287" s="1293" t="s">
        <v>801</v>
      </c>
      <c r="D287" s="1625" t="s">
        <v>955</v>
      </c>
      <c r="E287" s="1287">
        <v>698400</v>
      </c>
      <c r="F287" s="1287">
        <f>F265+F263+F176+F165+F128+F50+F11</f>
        <v>223896.59999999998</v>
      </c>
      <c r="G287" s="1424">
        <f>G265+G263+G176+G165+G128+G50+G11</f>
        <v>528896.6</v>
      </c>
      <c r="H287" s="1427">
        <f>H265+H263+H176+H165+H128+H50+H11</f>
        <v>1736530.62</v>
      </c>
      <c r="I287" s="1426">
        <f>H287/G287</f>
        <v>3.2833083442018727</v>
      </c>
      <c r="J287" s="1287">
        <f>J265+J263+J176+J165+J128+J50+J11</f>
        <v>0</v>
      </c>
      <c r="K287" s="1287">
        <f>K265+K263+K176+K165+K128+K50+K11</f>
        <v>0</v>
      </c>
      <c r="L287" s="1287">
        <f>L265+L263+L176+L165+L128+L50+L11</f>
        <v>0</v>
      </c>
    </row>
    <row r="288" spans="3:12" ht="12.75">
      <c r="C288" s="1465"/>
      <c r="D288" s="1466" t="s">
        <v>92</v>
      </c>
      <c r="E288" s="1285"/>
      <c r="F288" s="1285"/>
      <c r="G288" s="1285"/>
      <c r="H288" s="1285"/>
      <c r="I288" s="1286"/>
      <c r="J288" s="1285"/>
      <c r="K288" s="1285"/>
      <c r="L288" s="1285"/>
    </row>
    <row r="289" spans="3:12" ht="52.5">
      <c r="C289" s="1272"/>
      <c r="D289" s="1300" t="s">
        <v>818</v>
      </c>
      <c r="E289" s="1301">
        <f>E263</f>
        <v>255000</v>
      </c>
      <c r="F289" s="1301">
        <f aca="true" t="shared" si="69" ref="F289:L289">F263</f>
        <v>37740.28999999998</v>
      </c>
      <c r="G289" s="1435">
        <f t="shared" si="69"/>
        <v>292740.29</v>
      </c>
      <c r="H289" s="1437">
        <f t="shared" si="69"/>
        <v>292740.29</v>
      </c>
      <c r="I289" s="1436">
        <f>H289/G289</f>
        <v>1</v>
      </c>
      <c r="J289" s="1301">
        <f t="shared" si="69"/>
        <v>0</v>
      </c>
      <c r="K289" s="1301">
        <f t="shared" si="69"/>
        <v>0</v>
      </c>
      <c r="L289" s="1301">
        <f t="shared" si="69"/>
        <v>0</v>
      </c>
    </row>
    <row r="290" spans="3:12" ht="33.75">
      <c r="C290" s="1452" t="s">
        <v>803</v>
      </c>
      <c r="D290" s="981" t="s">
        <v>836</v>
      </c>
      <c r="E290" s="1287">
        <f>E245</f>
        <v>0</v>
      </c>
      <c r="F290" s="1287">
        <f aca="true" t="shared" si="70" ref="F290:L290">F245</f>
        <v>0</v>
      </c>
      <c r="G290" s="1424">
        <f t="shared" si="70"/>
        <v>0</v>
      </c>
      <c r="H290" s="1427">
        <f t="shared" si="70"/>
        <v>2570.74</v>
      </c>
      <c r="I290" s="1453">
        <v>0</v>
      </c>
      <c r="J290" s="1287">
        <f t="shared" si="70"/>
        <v>0</v>
      </c>
      <c r="K290" s="1287">
        <f t="shared" si="70"/>
        <v>0</v>
      </c>
      <c r="L290" s="1287">
        <f t="shared" si="70"/>
        <v>0</v>
      </c>
    </row>
    <row r="291" ht="12.75">
      <c r="I291" s="1252"/>
    </row>
    <row r="292" ht="12.75">
      <c r="I292" s="1252"/>
    </row>
    <row r="293" ht="12.75">
      <c r="I293" s="1252"/>
    </row>
  </sheetData>
  <sheetProtection/>
  <mergeCells count="13">
    <mergeCell ref="J6:L6"/>
    <mergeCell ref="A269:D269"/>
    <mergeCell ref="A3:J3"/>
    <mergeCell ref="A4:J4"/>
    <mergeCell ref="E6:E7"/>
    <mergeCell ref="F6:F7"/>
    <mergeCell ref="G6:G7"/>
    <mergeCell ref="D6:D7"/>
    <mergeCell ref="C6:C7"/>
    <mergeCell ref="B6:B7"/>
    <mergeCell ref="A6:A7"/>
    <mergeCell ref="H6:H7"/>
    <mergeCell ref="I6:I7"/>
  </mergeCells>
  <printOptions/>
  <pageMargins left="0" right="0" top="0.7874015748031497" bottom="0.3937007874015748" header="0.31496062992125984" footer="0.11811023622047245"/>
  <pageSetup fitToHeight="0" fitToWidth="1" horizontalDpi="600" verticalDpi="600" orientation="landscape" paperSize="9" scale="93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7109375" style="516" customWidth="1"/>
    <col min="2" max="2" width="7.57421875" style="516" customWidth="1"/>
    <col min="3" max="3" width="7.7109375" style="516" customWidth="1"/>
    <col min="4" max="4" width="33.28125" style="516" customWidth="1"/>
    <col min="5" max="5" width="11.8515625" style="516" customWidth="1"/>
    <col min="6" max="6" width="13.57421875" style="516" customWidth="1"/>
    <col min="7" max="7" width="11.7109375" style="516" customWidth="1"/>
    <col min="8" max="16384" width="9.140625" style="516" customWidth="1"/>
  </cols>
  <sheetData>
    <row r="1" spans="4:5" ht="12.75">
      <c r="D1" s="517" t="s">
        <v>345</v>
      </c>
      <c r="E1" s="847" t="s">
        <v>356</v>
      </c>
    </row>
    <row r="3" spans="1:7" ht="30.75" customHeight="1">
      <c r="A3" s="1901" t="s">
        <v>890</v>
      </c>
      <c r="B3" s="1901"/>
      <c r="C3" s="1901"/>
      <c r="D3" s="1901"/>
      <c r="E3" s="1901"/>
      <c r="F3" s="1901"/>
      <c r="G3" s="1901"/>
    </row>
    <row r="4" spans="1:5" ht="38.25" customHeight="1">
      <c r="A4" s="1897" t="s">
        <v>305</v>
      </c>
      <c r="B4" s="1897"/>
      <c r="C4" s="1897"/>
      <c r="D4" s="1897"/>
      <c r="E4" s="518"/>
    </row>
    <row r="5" spans="1:7" ht="28.5" customHeight="1">
      <c r="A5" s="519" t="s">
        <v>0</v>
      </c>
      <c r="B5" s="519" t="s">
        <v>1</v>
      </c>
      <c r="C5" s="519" t="s">
        <v>112</v>
      </c>
      <c r="D5" s="520" t="s">
        <v>229</v>
      </c>
      <c r="E5" s="521" t="s">
        <v>230</v>
      </c>
      <c r="F5" s="522" t="s">
        <v>341</v>
      </c>
      <c r="G5" s="522" t="s">
        <v>85</v>
      </c>
    </row>
    <row r="6" spans="1:7" ht="24">
      <c r="A6" s="523">
        <v>900</v>
      </c>
      <c r="B6" s="524"/>
      <c r="C6" s="525"/>
      <c r="D6" s="526" t="s">
        <v>249</v>
      </c>
      <c r="E6" s="527">
        <f>E7+E10</f>
        <v>65872.2</v>
      </c>
      <c r="F6" s="527">
        <f>F7</f>
        <v>18033.379999999997</v>
      </c>
      <c r="G6" s="993">
        <f aca="true" t="shared" si="0" ref="G6:G12">F6/E6</f>
        <v>0.2737631352831695</v>
      </c>
    </row>
    <row r="7" spans="1:7" ht="36">
      <c r="A7" s="528"/>
      <c r="B7" s="529">
        <v>90019</v>
      </c>
      <c r="C7" s="529"/>
      <c r="D7" s="530" t="s">
        <v>346</v>
      </c>
      <c r="E7" s="531">
        <f>E9+E8</f>
        <v>59400</v>
      </c>
      <c r="F7" s="531">
        <f>F9+F8</f>
        <v>18033.379999999997</v>
      </c>
      <c r="G7" s="994">
        <f t="shared" si="0"/>
        <v>0.30359225589225586</v>
      </c>
    </row>
    <row r="8" spans="1:7" ht="36">
      <c r="A8" s="528"/>
      <c r="B8" s="1642"/>
      <c r="C8" s="1645" t="s">
        <v>402</v>
      </c>
      <c r="D8" s="1622" t="s">
        <v>960</v>
      </c>
      <c r="E8" s="1643">
        <v>4400</v>
      </c>
      <c r="F8" s="1643">
        <v>4400</v>
      </c>
      <c r="G8" s="1644">
        <f t="shared" si="0"/>
        <v>1</v>
      </c>
    </row>
    <row r="9" spans="1:7" ht="12.75">
      <c r="A9" s="532"/>
      <c r="B9" s="533"/>
      <c r="C9" s="534" t="s">
        <v>91</v>
      </c>
      <c r="D9" s="535" t="s">
        <v>347</v>
      </c>
      <c r="E9" s="536">
        <v>55000</v>
      </c>
      <c r="F9" s="538">
        <v>13633.38</v>
      </c>
      <c r="G9" s="995">
        <f t="shared" si="0"/>
        <v>0.24787963636363636</v>
      </c>
    </row>
    <row r="10" spans="1:7" ht="24">
      <c r="A10" s="532"/>
      <c r="B10" s="1648">
        <v>90026</v>
      </c>
      <c r="C10" s="1649"/>
      <c r="D10" s="1650" t="s">
        <v>950</v>
      </c>
      <c r="E10" s="1651">
        <f>E11</f>
        <v>6472.2</v>
      </c>
      <c r="F10" s="1651">
        <f>F11</f>
        <v>6412.15</v>
      </c>
      <c r="G10" s="1654">
        <f t="shared" si="0"/>
        <v>0.9907218565557306</v>
      </c>
    </row>
    <row r="11" spans="1:7" ht="60">
      <c r="A11" s="532"/>
      <c r="B11" s="533"/>
      <c r="C11" s="540">
        <v>2460</v>
      </c>
      <c r="D11" s="1646" t="s">
        <v>961</v>
      </c>
      <c r="E11" s="1647">
        <v>6472.2</v>
      </c>
      <c r="F11" s="1652">
        <v>6412.15</v>
      </c>
      <c r="G11" s="1653">
        <f t="shared" si="0"/>
        <v>0.9907218565557306</v>
      </c>
    </row>
    <row r="12" spans="1:7" ht="27" customHeight="1">
      <c r="A12" s="532"/>
      <c r="B12" s="539"/>
      <c r="C12" s="540"/>
      <c r="D12" s="541" t="s">
        <v>226</v>
      </c>
      <c r="E12" s="542">
        <f>E6</f>
        <v>65872.2</v>
      </c>
      <c r="F12" s="542">
        <f>F6</f>
        <v>18033.379999999997</v>
      </c>
      <c r="G12" s="996">
        <f t="shared" si="0"/>
        <v>0.2737631352831695</v>
      </c>
    </row>
    <row r="13" spans="1:5" ht="39.75" customHeight="1">
      <c r="A13" s="1898" t="s">
        <v>348</v>
      </c>
      <c r="B13" s="1898"/>
      <c r="C13" s="1898"/>
      <c r="D13" s="1898"/>
      <c r="E13" s="543"/>
    </row>
    <row r="14" spans="1:7" ht="27" customHeight="1">
      <c r="A14" s="544" t="s">
        <v>0</v>
      </c>
      <c r="B14" s="519" t="s">
        <v>1</v>
      </c>
      <c r="C14" s="519" t="s">
        <v>112</v>
      </c>
      <c r="D14" s="520" t="s">
        <v>229</v>
      </c>
      <c r="E14" s="521" t="s">
        <v>349</v>
      </c>
      <c r="F14" s="522" t="s">
        <v>341</v>
      </c>
      <c r="G14" s="522" t="s">
        <v>85</v>
      </c>
    </row>
    <row r="15" spans="1:7" ht="25.5">
      <c r="A15" s="523">
        <v>900</v>
      </c>
      <c r="B15" s="524"/>
      <c r="C15" s="525"/>
      <c r="D15" s="545" t="s">
        <v>249</v>
      </c>
      <c r="E15" s="546">
        <f>E19+E21</f>
        <v>65872.2</v>
      </c>
      <c r="F15" s="546">
        <f>F19+F21</f>
        <v>19952.059999999998</v>
      </c>
      <c r="G15" s="997">
        <f>F15/E15</f>
        <v>0.3028904454382881</v>
      </c>
    </row>
    <row r="16" spans="1:7" ht="24" hidden="1">
      <c r="A16" s="547"/>
      <c r="B16" s="529">
        <v>90001</v>
      </c>
      <c r="C16" s="529"/>
      <c r="D16" s="548" t="s">
        <v>350</v>
      </c>
      <c r="E16" s="549">
        <f>E17+E18</f>
        <v>0</v>
      </c>
      <c r="F16" s="549">
        <f>F17+F18</f>
        <v>0</v>
      </c>
      <c r="G16" s="998"/>
    </row>
    <row r="17" spans="1:7" ht="12.75" hidden="1">
      <c r="A17" s="550"/>
      <c r="B17" s="1899"/>
      <c r="C17" s="551">
        <v>4210</v>
      </c>
      <c r="D17" s="552" t="s">
        <v>15</v>
      </c>
      <c r="E17" s="553"/>
      <c r="F17" s="537"/>
      <c r="G17" s="995"/>
    </row>
    <row r="18" spans="1:7" ht="12.75" hidden="1">
      <c r="A18" s="550"/>
      <c r="B18" s="1900"/>
      <c r="C18" s="554">
        <v>4300</v>
      </c>
      <c r="D18" s="552" t="s">
        <v>16</v>
      </c>
      <c r="E18" s="553"/>
      <c r="F18" s="537"/>
      <c r="G18" s="995"/>
    </row>
    <row r="19" spans="1:7" ht="12.75">
      <c r="A19" s="550"/>
      <c r="B19" s="529">
        <v>90001</v>
      </c>
      <c r="C19" s="529"/>
      <c r="D19" s="530" t="s">
        <v>250</v>
      </c>
      <c r="E19" s="549">
        <f>SUM(E20:E20)</f>
        <v>5000</v>
      </c>
      <c r="F19" s="549">
        <f>SUM(F20:F20)</f>
        <v>4649.4</v>
      </c>
      <c r="G19" s="998">
        <f>F19/E19</f>
        <v>0.9298799999999999</v>
      </c>
    </row>
    <row r="20" spans="1:7" ht="12.75">
      <c r="A20" s="550"/>
      <c r="B20" s="557"/>
      <c r="C20" s="551">
        <v>4300</v>
      </c>
      <c r="D20" s="552" t="s">
        <v>16</v>
      </c>
      <c r="E20" s="556">
        <v>5000</v>
      </c>
      <c r="F20" s="555">
        <v>4649.4</v>
      </c>
      <c r="G20" s="999">
        <f>F20/E20</f>
        <v>0.9298799999999999</v>
      </c>
    </row>
    <row r="21" spans="1:7" ht="24">
      <c r="A21" s="550"/>
      <c r="B21" s="529">
        <v>90026</v>
      </c>
      <c r="C21" s="558"/>
      <c r="D21" s="530" t="s">
        <v>950</v>
      </c>
      <c r="E21" s="549">
        <f>E22+E23+E24</f>
        <v>60872.2</v>
      </c>
      <c r="F21" s="549">
        <f>F22+F23+F24</f>
        <v>15302.66</v>
      </c>
      <c r="G21" s="998">
        <f>F21/E21</f>
        <v>0.2513899612631053</v>
      </c>
    </row>
    <row r="22" spans="1:7" ht="48">
      <c r="A22" s="550"/>
      <c r="B22" s="554"/>
      <c r="C22" s="1621">
        <v>2320</v>
      </c>
      <c r="D22" s="1622" t="s">
        <v>951</v>
      </c>
      <c r="E22" s="1623">
        <v>30000</v>
      </c>
      <c r="F22" s="1623">
        <v>0</v>
      </c>
      <c r="G22" s="1624">
        <v>0</v>
      </c>
    </row>
    <row r="23" spans="1:7" ht="12.75">
      <c r="A23" s="550"/>
      <c r="B23" s="559"/>
      <c r="C23" s="560">
        <v>4210</v>
      </c>
      <c r="D23" s="535" t="s">
        <v>15</v>
      </c>
      <c r="E23" s="561">
        <v>16472.2</v>
      </c>
      <c r="F23" s="555">
        <v>10473.82</v>
      </c>
      <c r="G23" s="999">
        <f>F23/E23</f>
        <v>0.6358482777042532</v>
      </c>
    </row>
    <row r="24" spans="1:7" ht="12.75">
      <c r="A24" s="550"/>
      <c r="B24" s="539"/>
      <c r="C24" s="560">
        <v>4300</v>
      </c>
      <c r="D24" s="535" t="s">
        <v>16</v>
      </c>
      <c r="E24" s="561">
        <v>14400</v>
      </c>
      <c r="F24" s="555">
        <v>4828.84</v>
      </c>
      <c r="G24" s="999">
        <f>F24/E24</f>
        <v>0.3353361111111111</v>
      </c>
    </row>
    <row r="25" spans="1:7" ht="33" customHeight="1">
      <c r="A25" s="532"/>
      <c r="B25" s="539"/>
      <c r="C25" s="539"/>
      <c r="D25" s="541" t="s">
        <v>226</v>
      </c>
      <c r="E25" s="562">
        <f>E15</f>
        <v>65872.2</v>
      </c>
      <c r="F25" s="562">
        <f>F15</f>
        <v>19952.059999999998</v>
      </c>
      <c r="G25" s="1000">
        <f>F25/E25</f>
        <v>0.3028904454382881</v>
      </c>
    </row>
    <row r="26" spans="1:5" ht="12.75">
      <c r="A26" s="563"/>
      <c r="B26" s="564"/>
      <c r="C26" s="564"/>
      <c r="D26" s="564"/>
      <c r="E26" s="564"/>
    </row>
    <row r="27" spans="1:5" ht="12.75">
      <c r="A27" s="1004" t="s">
        <v>952</v>
      </c>
      <c r="B27" s="1002"/>
      <c r="C27" s="1002"/>
      <c r="D27" s="1002"/>
      <c r="E27" s="1003">
        <v>295979.19</v>
      </c>
    </row>
    <row r="28" spans="1:5" ht="12.75">
      <c r="A28" s="1004" t="s">
        <v>953</v>
      </c>
      <c r="B28" s="1002"/>
      <c r="C28" s="1002"/>
      <c r="D28" s="1002"/>
      <c r="E28" s="1003">
        <f>F12-F25</f>
        <v>-1918.6800000000003</v>
      </c>
    </row>
    <row r="29" spans="1:5" ht="12.75">
      <c r="A29" s="1004"/>
      <c r="B29" s="1002"/>
      <c r="C29" s="1002"/>
      <c r="D29" s="1002"/>
      <c r="E29" s="1003"/>
    </row>
    <row r="30" spans="1:5" ht="12.75">
      <c r="A30" s="1902" t="s">
        <v>741</v>
      </c>
      <c r="B30" s="1902"/>
      <c r="C30" s="1902"/>
      <c r="D30" s="1902"/>
      <c r="E30" s="1005">
        <f>E27+E28</f>
        <v>294060.51</v>
      </c>
    </row>
    <row r="31" spans="1:5" ht="12.75">
      <c r="A31" s="563"/>
      <c r="B31" s="564"/>
      <c r="C31" s="564"/>
      <c r="D31" s="564"/>
      <c r="E31" s="564"/>
    </row>
    <row r="32" spans="1:5" ht="12.75">
      <c r="A32" s="563"/>
      <c r="B32" s="564"/>
      <c r="C32" s="564"/>
      <c r="D32" s="564"/>
      <c r="E32" s="564"/>
    </row>
    <row r="33" spans="1:5" ht="12.75">
      <c r="A33" s="563"/>
      <c r="B33" s="564"/>
      <c r="C33" s="564"/>
      <c r="D33" s="564"/>
      <c r="E33" s="564"/>
    </row>
    <row r="34" spans="1:5" ht="12.75">
      <c r="A34" s="563"/>
      <c r="B34" s="564"/>
      <c r="C34" s="564"/>
      <c r="D34" s="564"/>
      <c r="E34" s="564"/>
    </row>
    <row r="35" spans="1:5" ht="12.75">
      <c r="A35" s="563"/>
      <c r="B35" s="564"/>
      <c r="C35" s="564"/>
      <c r="D35" s="564"/>
      <c r="E35" s="564"/>
    </row>
    <row r="36" spans="1:5" ht="12.75">
      <c r="A36" s="563"/>
      <c r="B36" s="564"/>
      <c r="C36" s="564"/>
      <c r="D36" s="564"/>
      <c r="E36" s="564"/>
    </row>
    <row r="37" spans="1:5" ht="12.75">
      <c r="A37" s="563"/>
      <c r="B37" s="564"/>
      <c r="C37" s="564"/>
      <c r="D37" s="564"/>
      <c r="E37" s="564"/>
    </row>
    <row r="38" spans="1:5" ht="12.75">
      <c r="A38" s="563"/>
      <c r="B38" s="563"/>
      <c r="C38" s="563"/>
      <c r="D38" s="563"/>
      <c r="E38" s="563"/>
    </row>
    <row r="39" spans="1:5" ht="12.75">
      <c r="A39" s="563"/>
      <c r="B39" s="563"/>
      <c r="C39" s="563"/>
      <c r="D39" s="563"/>
      <c r="E39" s="563"/>
    </row>
    <row r="40" spans="1:5" ht="12.75">
      <c r="A40" s="563"/>
      <c r="B40" s="563"/>
      <c r="C40" s="563"/>
      <c r="D40" s="563"/>
      <c r="E40" s="563"/>
    </row>
    <row r="41" spans="1:5" ht="12.75">
      <c r="A41" s="563"/>
      <c r="B41" s="563"/>
      <c r="C41" s="563"/>
      <c r="D41" s="563"/>
      <c r="E41" s="563"/>
    </row>
    <row r="42" spans="1:5" ht="12.75">
      <c r="A42" s="563"/>
      <c r="B42" s="563"/>
      <c r="C42" s="563"/>
      <c r="D42" s="563"/>
      <c r="E42" s="563"/>
    </row>
    <row r="43" spans="1:5" ht="12.75">
      <c r="A43" s="563"/>
      <c r="B43" s="563"/>
      <c r="C43" s="563"/>
      <c r="D43" s="563"/>
      <c r="E43" s="563"/>
    </row>
  </sheetData>
  <sheetProtection/>
  <mergeCells count="5">
    <mergeCell ref="A4:D4"/>
    <mergeCell ref="A13:D13"/>
    <mergeCell ref="B17:B18"/>
    <mergeCell ref="A3:G3"/>
    <mergeCell ref="A30:D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6">
      <selection activeCell="F40" sqref="F40"/>
    </sheetView>
  </sheetViews>
  <sheetFormatPr defaultColWidth="9.140625" defaultRowHeight="15"/>
  <cols>
    <col min="1" max="1" width="5.57421875" style="417" customWidth="1"/>
    <col min="2" max="2" width="7.8515625" style="417" customWidth="1"/>
    <col min="3" max="3" width="8.421875" style="417" customWidth="1"/>
    <col min="4" max="4" width="36.140625" style="417" customWidth="1"/>
    <col min="5" max="5" width="11.28125" style="417" customWidth="1"/>
    <col min="6" max="6" width="13.28125" style="417" customWidth="1"/>
    <col min="7" max="7" width="9.8515625" style="417" customWidth="1"/>
    <col min="8" max="8" width="9.7109375" style="417" bestFit="1" customWidth="1"/>
    <col min="9" max="16384" width="9.140625" style="417" customWidth="1"/>
  </cols>
  <sheetData>
    <row r="1" spans="1:7" ht="15" customHeight="1">
      <c r="A1" s="416"/>
      <c r="B1" s="416"/>
      <c r="C1" s="416"/>
      <c r="D1" s="1905" t="s">
        <v>357</v>
      </c>
      <c r="E1" s="1905"/>
      <c r="F1" s="1905"/>
      <c r="G1" s="1905"/>
    </row>
    <row r="2" spans="1:5" ht="12.75">
      <c r="A2" s="416"/>
      <c r="B2" s="416"/>
      <c r="C2" s="416"/>
      <c r="D2" s="418"/>
      <c r="E2" s="419"/>
    </row>
    <row r="3" spans="1:5" ht="12.75">
      <c r="A3" s="416"/>
      <c r="B3" s="416"/>
      <c r="C3" s="416"/>
      <c r="D3" s="418"/>
      <c r="E3" s="420"/>
    </row>
    <row r="4" spans="1:4" ht="12.75">
      <c r="A4" s="416"/>
      <c r="B4" s="416"/>
      <c r="C4" s="416"/>
      <c r="D4" s="421"/>
    </row>
    <row r="5" spans="1:7" ht="15">
      <c r="A5" s="1906" t="s">
        <v>358</v>
      </c>
      <c r="B5" s="1906"/>
      <c r="C5" s="1906"/>
      <c r="D5" s="1906"/>
      <c r="E5" s="1906"/>
      <c r="F5" s="1906"/>
      <c r="G5" s="1906"/>
    </row>
    <row r="6" spans="1:7" ht="15">
      <c r="A6" s="1906" t="s">
        <v>302</v>
      </c>
      <c r="B6" s="1906"/>
      <c r="C6" s="1906"/>
      <c r="D6" s="1906"/>
      <c r="E6" s="1906"/>
      <c r="F6" s="1906"/>
      <c r="G6" s="1906"/>
    </row>
    <row r="7" spans="1:7" ht="15">
      <c r="A7" s="1906" t="s">
        <v>303</v>
      </c>
      <c r="B7" s="1906"/>
      <c r="C7" s="1906"/>
      <c r="D7" s="1906"/>
      <c r="E7" s="1906"/>
      <c r="F7" s="1906"/>
      <c r="G7" s="1906"/>
    </row>
    <row r="8" spans="1:7" ht="15">
      <c r="A8" s="1906" t="s">
        <v>304</v>
      </c>
      <c r="B8" s="1906"/>
      <c r="C8" s="1906"/>
      <c r="D8" s="1906"/>
      <c r="E8" s="1906"/>
      <c r="F8" s="1906"/>
      <c r="G8" s="1906"/>
    </row>
    <row r="9" spans="1:7" ht="15">
      <c r="A9" s="1906" t="s">
        <v>891</v>
      </c>
      <c r="B9" s="1906"/>
      <c r="C9" s="1906"/>
      <c r="D9" s="1906"/>
      <c r="E9" s="1906"/>
      <c r="F9" s="1906"/>
      <c r="G9" s="1906"/>
    </row>
    <row r="10" spans="1:4" ht="12.75">
      <c r="A10" s="422"/>
      <c r="B10" s="423"/>
      <c r="C10" s="423"/>
      <c r="D10" s="423"/>
    </row>
    <row r="11" spans="1:4" ht="15.75">
      <c r="A11" s="424"/>
      <c r="B11" s="425"/>
      <c r="C11" s="425"/>
      <c r="D11" s="426" t="s">
        <v>305</v>
      </c>
    </row>
    <row r="12" spans="1:4" ht="12.75">
      <c r="A12" s="416"/>
      <c r="B12" s="416"/>
      <c r="C12" s="416"/>
      <c r="D12" s="416"/>
    </row>
    <row r="13" spans="1:7" ht="38.25" customHeight="1">
      <c r="A13" s="427" t="s">
        <v>0</v>
      </c>
      <c r="B13" s="428" t="s">
        <v>1</v>
      </c>
      <c r="C13" s="429" t="s">
        <v>112</v>
      </c>
      <c r="D13" s="430" t="s">
        <v>229</v>
      </c>
      <c r="E13" s="431" t="s">
        <v>306</v>
      </c>
      <c r="F13" s="432" t="s">
        <v>954</v>
      </c>
      <c r="G13" s="848" t="s">
        <v>85</v>
      </c>
    </row>
    <row r="14" spans="1:7" s="438" customFormat="1" ht="48">
      <c r="A14" s="433">
        <v>756</v>
      </c>
      <c r="B14" s="434"/>
      <c r="C14" s="435"/>
      <c r="D14" s="436" t="s">
        <v>307</v>
      </c>
      <c r="E14" s="437">
        <f>SUM(E15)</f>
        <v>346000</v>
      </c>
      <c r="F14" s="437">
        <f>SUM(F15)</f>
        <v>351741.25</v>
      </c>
      <c r="G14" s="849">
        <f>F14/E14</f>
        <v>1.0165932080924855</v>
      </c>
    </row>
    <row r="15" spans="1:7" s="438" customFormat="1" ht="36">
      <c r="A15" s="1903"/>
      <c r="B15" s="439">
        <v>75618</v>
      </c>
      <c r="C15" s="440"/>
      <c r="D15" s="441" t="s">
        <v>308</v>
      </c>
      <c r="E15" s="442">
        <f>SUM(E16)</f>
        <v>346000</v>
      </c>
      <c r="F15" s="442">
        <f>SUM(F16)</f>
        <v>351741.25</v>
      </c>
      <c r="G15" s="850">
        <f>F15/E15</f>
        <v>1.0165932080924855</v>
      </c>
    </row>
    <row r="16" spans="1:7" s="438" customFormat="1" ht="24">
      <c r="A16" s="1904"/>
      <c r="B16" s="443"/>
      <c r="C16" s="444">
        <v>480</v>
      </c>
      <c r="D16" s="445" t="s">
        <v>309</v>
      </c>
      <c r="E16" s="446">
        <v>346000</v>
      </c>
      <c r="F16" s="565">
        <v>351741.25</v>
      </c>
      <c r="G16" s="851">
        <f>F16/E16</f>
        <v>1.0165932080924855</v>
      </c>
    </row>
    <row r="17" spans="1:8" s="452" customFormat="1" ht="24" customHeight="1">
      <c r="A17" s="448"/>
      <c r="B17" s="448"/>
      <c r="C17" s="449"/>
      <c r="D17" s="450" t="s">
        <v>310</v>
      </c>
      <c r="E17" s="451">
        <f>SUM(E14)</f>
        <v>346000</v>
      </c>
      <c r="F17" s="451">
        <f>SUM(F14)</f>
        <v>351741.25</v>
      </c>
      <c r="G17" s="852">
        <f>F17/E17</f>
        <v>1.0165932080924855</v>
      </c>
      <c r="H17" s="1454"/>
    </row>
    <row r="18" spans="1:5" ht="12.75">
      <c r="A18" s="453"/>
      <c r="B18" s="454"/>
      <c r="C18" s="416"/>
      <c r="D18" s="416"/>
      <c r="E18" s="455"/>
    </row>
    <row r="19" spans="1:5" ht="15.75">
      <c r="A19" s="416"/>
      <c r="B19" s="416"/>
      <c r="C19" s="416"/>
      <c r="D19" s="426" t="s">
        <v>311</v>
      </c>
      <c r="E19" s="455"/>
    </row>
    <row r="20" spans="1:5" ht="12.75">
      <c r="A20" s="416"/>
      <c r="B20" s="416"/>
      <c r="C20" s="416"/>
      <c r="D20" s="416"/>
      <c r="E20" s="455"/>
    </row>
    <row r="21" spans="1:7" ht="39.75" customHeight="1">
      <c r="A21" s="427" t="s">
        <v>0</v>
      </c>
      <c r="B21" s="427" t="s">
        <v>1</v>
      </c>
      <c r="C21" s="429" t="s">
        <v>112</v>
      </c>
      <c r="D21" s="430" t="s">
        <v>229</v>
      </c>
      <c r="E21" s="456" t="s">
        <v>306</v>
      </c>
      <c r="F21" s="432" t="s">
        <v>954</v>
      </c>
      <c r="G21" s="848" t="s">
        <v>85</v>
      </c>
    </row>
    <row r="22" spans="1:7" s="438" customFormat="1" ht="12">
      <c r="A22" s="457">
        <v>851</v>
      </c>
      <c r="B22" s="458"/>
      <c r="C22" s="459"/>
      <c r="D22" s="460" t="s">
        <v>247</v>
      </c>
      <c r="E22" s="437">
        <f>E23+E27</f>
        <v>415749</v>
      </c>
      <c r="F22" s="437">
        <f>F23+F27</f>
        <v>337568.41000000003</v>
      </c>
      <c r="G22" s="853">
        <f aca="true" t="shared" si="0" ref="G22:G28">F22/E22</f>
        <v>0.8119524280274878</v>
      </c>
    </row>
    <row r="23" spans="1:7" s="438" customFormat="1" ht="12">
      <c r="A23" s="461"/>
      <c r="B23" s="462">
        <v>85153</v>
      </c>
      <c r="C23" s="440"/>
      <c r="D23" s="463" t="s">
        <v>312</v>
      </c>
      <c r="E23" s="442">
        <f>SUM(E24:E26)</f>
        <v>5500</v>
      </c>
      <c r="F23" s="442">
        <f>SUM(F24:F26)</f>
        <v>0</v>
      </c>
      <c r="G23" s="854">
        <f t="shared" si="0"/>
        <v>0</v>
      </c>
    </row>
    <row r="24" spans="1:7" s="438" customFormat="1" ht="12">
      <c r="A24" s="461"/>
      <c r="B24" s="461"/>
      <c r="C24" s="464">
        <v>4170</v>
      </c>
      <c r="D24" s="465" t="s">
        <v>28</v>
      </c>
      <c r="E24" s="446">
        <v>2240</v>
      </c>
      <c r="F24" s="447">
        <v>0</v>
      </c>
      <c r="G24" s="851">
        <f t="shared" si="0"/>
        <v>0</v>
      </c>
    </row>
    <row r="25" spans="1:7" s="438" customFormat="1" ht="12">
      <c r="A25" s="461"/>
      <c r="B25" s="461"/>
      <c r="C25" s="464">
        <v>4210</v>
      </c>
      <c r="D25" s="465" t="s">
        <v>15</v>
      </c>
      <c r="E25" s="446">
        <v>1000</v>
      </c>
      <c r="F25" s="447">
        <v>0</v>
      </c>
      <c r="G25" s="851">
        <f t="shared" si="0"/>
        <v>0</v>
      </c>
    </row>
    <row r="26" spans="1:7" s="438" customFormat="1" ht="12">
      <c r="A26" s="461"/>
      <c r="B26" s="461"/>
      <c r="C26" s="464">
        <v>4300</v>
      </c>
      <c r="D26" s="465" t="s">
        <v>16</v>
      </c>
      <c r="E26" s="446">
        <v>2260</v>
      </c>
      <c r="F26" s="447">
        <v>0</v>
      </c>
      <c r="G26" s="851">
        <f t="shared" si="0"/>
        <v>0</v>
      </c>
    </row>
    <row r="27" spans="1:7" s="438" customFormat="1" ht="12">
      <c r="A27" s="461"/>
      <c r="B27" s="462">
        <v>85154</v>
      </c>
      <c r="C27" s="440"/>
      <c r="D27" s="463" t="s">
        <v>248</v>
      </c>
      <c r="E27" s="442">
        <f>SUM(E28:E39)</f>
        <v>410249</v>
      </c>
      <c r="F27" s="442">
        <f>SUM(F28:F39)</f>
        <v>337568.41000000003</v>
      </c>
      <c r="G27" s="854">
        <f t="shared" si="0"/>
        <v>0.8228378618838803</v>
      </c>
    </row>
    <row r="28" spans="1:7" s="438" customFormat="1" ht="72">
      <c r="A28" s="461"/>
      <c r="B28" s="461"/>
      <c r="C28" s="466">
        <v>2360</v>
      </c>
      <c r="D28" s="180" t="s">
        <v>269</v>
      </c>
      <c r="E28" s="467">
        <v>38000</v>
      </c>
      <c r="F28" s="447">
        <v>32100</v>
      </c>
      <c r="G28" s="851">
        <f t="shared" si="0"/>
        <v>0.8447368421052631</v>
      </c>
    </row>
    <row r="29" spans="1:7" s="438" customFormat="1" ht="48">
      <c r="A29" s="461"/>
      <c r="B29" s="461"/>
      <c r="C29" s="466">
        <v>2710</v>
      </c>
      <c r="D29" s="180" t="s">
        <v>313</v>
      </c>
      <c r="E29" s="467">
        <v>23800</v>
      </c>
      <c r="F29" s="447">
        <v>23800</v>
      </c>
      <c r="G29" s="851">
        <f aca="true" t="shared" si="1" ref="G29:G39">F29/E29</f>
        <v>1</v>
      </c>
    </row>
    <row r="30" spans="1:7" s="438" customFormat="1" ht="12">
      <c r="A30" s="461"/>
      <c r="B30" s="461"/>
      <c r="C30" s="464">
        <v>4110</v>
      </c>
      <c r="D30" s="465" t="s">
        <v>13</v>
      </c>
      <c r="E30" s="446">
        <v>3509</v>
      </c>
      <c r="F30" s="447">
        <v>955.39</v>
      </c>
      <c r="G30" s="851">
        <f t="shared" si="1"/>
        <v>0.2722684525505842</v>
      </c>
    </row>
    <row r="31" spans="1:7" s="438" customFormat="1" ht="12">
      <c r="A31" s="461"/>
      <c r="B31" s="461"/>
      <c r="C31" s="464">
        <v>4120</v>
      </c>
      <c r="D31" s="465" t="s">
        <v>14</v>
      </c>
      <c r="E31" s="446">
        <v>300</v>
      </c>
      <c r="F31" s="447">
        <v>24.5</v>
      </c>
      <c r="G31" s="851">
        <f t="shared" si="1"/>
        <v>0.08166666666666667</v>
      </c>
    </row>
    <row r="32" spans="1:7" s="438" customFormat="1" ht="12">
      <c r="A32" s="461"/>
      <c r="B32" s="461"/>
      <c r="C32" s="464">
        <v>4170</v>
      </c>
      <c r="D32" s="465" t="s">
        <v>28</v>
      </c>
      <c r="E32" s="446">
        <v>132511</v>
      </c>
      <c r="F32" s="447">
        <v>106880.24</v>
      </c>
      <c r="G32" s="851">
        <f t="shared" si="1"/>
        <v>0.8065763596984402</v>
      </c>
    </row>
    <row r="33" spans="1:7" s="438" customFormat="1" ht="12">
      <c r="A33" s="461"/>
      <c r="B33" s="461"/>
      <c r="C33" s="464">
        <v>4210</v>
      </c>
      <c r="D33" s="465" t="s">
        <v>15</v>
      </c>
      <c r="E33" s="446">
        <v>52950</v>
      </c>
      <c r="F33" s="447">
        <v>30822.17</v>
      </c>
      <c r="G33" s="851">
        <f t="shared" si="1"/>
        <v>0.5820995278564683</v>
      </c>
    </row>
    <row r="34" spans="1:7" s="438" customFormat="1" ht="12">
      <c r="A34" s="461"/>
      <c r="B34" s="461"/>
      <c r="C34" s="464">
        <v>4260</v>
      </c>
      <c r="D34" s="465" t="s">
        <v>37</v>
      </c>
      <c r="E34" s="446">
        <v>12000</v>
      </c>
      <c r="F34" s="447">
        <v>8355.23</v>
      </c>
      <c r="G34" s="851">
        <f t="shared" si="1"/>
        <v>0.6962691666666666</v>
      </c>
    </row>
    <row r="35" spans="1:7" s="438" customFormat="1" ht="12">
      <c r="A35" s="461"/>
      <c r="B35" s="461"/>
      <c r="C35" s="464">
        <v>4270</v>
      </c>
      <c r="D35" s="465" t="s">
        <v>74</v>
      </c>
      <c r="E35" s="446">
        <v>2000</v>
      </c>
      <c r="F35" s="447">
        <v>0</v>
      </c>
      <c r="G35" s="851">
        <f t="shared" si="1"/>
        <v>0</v>
      </c>
    </row>
    <row r="36" spans="1:7" s="438" customFormat="1" ht="12">
      <c r="A36" s="461"/>
      <c r="B36" s="461"/>
      <c r="C36" s="464">
        <v>4300</v>
      </c>
      <c r="D36" s="465" t="s">
        <v>16</v>
      </c>
      <c r="E36" s="446">
        <v>138048</v>
      </c>
      <c r="F36" s="447">
        <v>130193.26</v>
      </c>
      <c r="G36" s="851">
        <f t="shared" si="1"/>
        <v>0.9431013850254983</v>
      </c>
    </row>
    <row r="37" spans="1:7" s="438" customFormat="1" ht="24">
      <c r="A37" s="461"/>
      <c r="B37" s="461"/>
      <c r="C37" s="464">
        <v>4360</v>
      </c>
      <c r="D37" s="445" t="s">
        <v>52</v>
      </c>
      <c r="E37" s="446">
        <v>2000</v>
      </c>
      <c r="F37" s="447">
        <v>1973.27</v>
      </c>
      <c r="G37" s="851">
        <f t="shared" si="1"/>
        <v>0.986635</v>
      </c>
    </row>
    <row r="38" spans="1:7" s="438" customFormat="1" ht="12">
      <c r="A38" s="461"/>
      <c r="B38" s="461"/>
      <c r="C38" s="464">
        <v>4410</v>
      </c>
      <c r="D38" s="465" t="s">
        <v>22</v>
      </c>
      <c r="E38" s="446">
        <v>729</v>
      </c>
      <c r="F38" s="447">
        <v>323.2</v>
      </c>
      <c r="G38" s="851">
        <f t="shared" si="1"/>
        <v>0.4433470507544581</v>
      </c>
    </row>
    <row r="39" spans="1:7" s="438" customFormat="1" ht="12.75" thickBot="1">
      <c r="A39" s="468"/>
      <c r="B39" s="468"/>
      <c r="C39" s="469">
        <v>4430</v>
      </c>
      <c r="D39" s="470" t="s">
        <v>17</v>
      </c>
      <c r="E39" s="471">
        <v>4402</v>
      </c>
      <c r="F39" s="447">
        <v>2141.15</v>
      </c>
      <c r="G39" s="851">
        <f t="shared" si="1"/>
        <v>0.4864039073148569</v>
      </c>
    </row>
    <row r="40" spans="1:8" s="452" customFormat="1" ht="24" customHeight="1">
      <c r="A40" s="472"/>
      <c r="B40" s="472"/>
      <c r="C40" s="473"/>
      <c r="D40" s="474" t="s">
        <v>310</v>
      </c>
      <c r="E40" s="475">
        <f>E22</f>
        <v>415749</v>
      </c>
      <c r="F40" s="475">
        <f>F22</f>
        <v>337568.41000000003</v>
      </c>
      <c r="G40" s="855">
        <f>F40/E40</f>
        <v>0.8119524280274878</v>
      </c>
      <c r="H40" s="1454"/>
    </row>
    <row r="41" spans="5:7" ht="12.75">
      <c r="E41" s="856"/>
      <c r="F41" s="856"/>
      <c r="G41" s="856"/>
    </row>
    <row r="42" spans="6:8" ht="12.75">
      <c r="F42" s="856"/>
      <c r="H42" s="856"/>
    </row>
  </sheetData>
  <sheetProtection selectLockedCells="1" selectUnlockedCells="1"/>
  <mergeCells count="7">
    <mergeCell ref="A15:A16"/>
    <mergeCell ref="D1:G1"/>
    <mergeCell ref="A5:G5"/>
    <mergeCell ref="A6:G6"/>
    <mergeCell ref="A7:G7"/>
    <mergeCell ref="A8:G8"/>
    <mergeCell ref="A9:G9"/>
  </mergeCells>
  <printOptions/>
  <pageMargins left="0.7874015748031497" right="0" top="0.5905511811023623" bottom="0.5905511811023623" header="0.5118110236220472" footer="0.5118110236220472"/>
  <pageSetup fitToHeight="0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6"/>
  <sheetViews>
    <sheetView zoomScalePageLayoutView="0" workbookViewId="0" topLeftCell="A19">
      <selection activeCell="R58" sqref="R58"/>
    </sheetView>
  </sheetViews>
  <sheetFormatPr defaultColWidth="9.140625" defaultRowHeight="15"/>
  <cols>
    <col min="1" max="1" width="4.00390625" style="516" customWidth="1"/>
    <col min="2" max="2" width="7.28125" style="516" customWidth="1"/>
    <col min="3" max="3" width="6.00390625" style="516" customWidth="1"/>
    <col min="4" max="4" width="40.421875" style="516" customWidth="1"/>
    <col min="5" max="5" width="12.140625" style="516" customWidth="1"/>
    <col min="6" max="6" width="11.421875" style="516" hidden="1" customWidth="1"/>
    <col min="7" max="7" width="7.7109375" style="516" hidden="1" customWidth="1"/>
    <col min="8" max="8" width="10.57421875" style="516" hidden="1" customWidth="1"/>
    <col min="9" max="9" width="8.8515625" style="516" hidden="1" customWidth="1"/>
    <col min="10" max="10" width="12.7109375" style="516" bestFit="1" customWidth="1"/>
    <col min="11" max="11" width="11.7109375" style="516" hidden="1" customWidth="1"/>
    <col min="12" max="12" width="8.00390625" style="516" customWidth="1"/>
    <col min="13" max="14" width="10.140625" style="516" customWidth="1"/>
    <col min="15" max="15" width="10.28125" style="516" customWidth="1"/>
    <col min="16" max="16" width="12.421875" style="516" customWidth="1"/>
    <col min="17" max="16384" width="9.140625" style="516" customWidth="1"/>
  </cols>
  <sheetData>
    <row r="1" spans="4:8" ht="12.75" hidden="1">
      <c r="D1" s="1909" t="s">
        <v>742</v>
      </c>
      <c r="E1" s="1909"/>
      <c r="F1" s="1909"/>
      <c r="G1" s="1909"/>
      <c r="H1" s="1909"/>
    </row>
    <row r="2" spans="10:15" ht="18" customHeight="1">
      <c r="J2" s="1920" t="s">
        <v>787</v>
      </c>
      <c r="K2" s="1920"/>
      <c r="L2" s="1920"/>
      <c r="M2" s="1920"/>
      <c r="N2" s="1920"/>
      <c r="O2" s="1920"/>
    </row>
    <row r="3" spans="10:15" ht="18" customHeight="1">
      <c r="J3" s="1035"/>
      <c r="K3" s="1035"/>
      <c r="L3" s="1035"/>
      <c r="M3" s="1035"/>
      <c r="N3" s="1035"/>
      <c r="O3" s="1035"/>
    </row>
    <row r="4" spans="1:13" ht="30.75" customHeight="1">
      <c r="A4" s="1910" t="s">
        <v>894</v>
      </c>
      <c r="B4" s="1910"/>
      <c r="C4" s="1910"/>
      <c r="D4" s="1910"/>
      <c r="E4" s="1910"/>
      <c r="F4" s="1910"/>
      <c r="G4" s="1910"/>
      <c r="H4" s="1910"/>
      <c r="I4" s="1910"/>
      <c r="J4" s="1910"/>
      <c r="K4" s="1910"/>
      <c r="L4" s="1910"/>
      <c r="M4" s="1910"/>
    </row>
    <row r="5" spans="1:8" ht="11.25" customHeight="1">
      <c r="A5" s="1006"/>
      <c r="B5" s="1006"/>
      <c r="C5" s="1006"/>
      <c r="D5" s="1006"/>
      <c r="E5" s="1006"/>
      <c r="F5" s="1001"/>
      <c r="G5" s="1001"/>
      <c r="H5" s="1001"/>
    </row>
    <row r="6" spans="1:7" ht="20.25" customHeight="1">
      <c r="A6" s="1901" t="s">
        <v>305</v>
      </c>
      <c r="B6" s="1901"/>
      <c r="C6" s="1901"/>
      <c r="D6" s="1901"/>
      <c r="E6" s="518"/>
      <c r="F6" s="518"/>
      <c r="G6" s="518"/>
    </row>
    <row r="7" spans="1:15" ht="27" customHeight="1">
      <c r="A7" s="1919" t="s">
        <v>0</v>
      </c>
      <c r="B7" s="1919" t="s">
        <v>1</v>
      </c>
      <c r="C7" s="1919" t="s">
        <v>112</v>
      </c>
      <c r="D7" s="1922" t="s">
        <v>229</v>
      </c>
      <c r="E7" s="1923" t="s">
        <v>895</v>
      </c>
      <c r="F7" s="1040"/>
      <c r="G7" s="1040"/>
      <c r="H7" s="1041"/>
      <c r="I7" s="1042"/>
      <c r="J7" s="1924" t="s">
        <v>883</v>
      </c>
      <c r="K7" s="1043"/>
      <c r="L7" s="1925" t="s">
        <v>85</v>
      </c>
      <c r="M7" s="1917" t="s">
        <v>87</v>
      </c>
      <c r="N7" s="1044" t="s">
        <v>96</v>
      </c>
      <c r="O7" s="1921" t="s">
        <v>744</v>
      </c>
    </row>
    <row r="8" spans="1:15" ht="47.25" customHeight="1">
      <c r="A8" s="1919"/>
      <c r="B8" s="1919"/>
      <c r="C8" s="1919"/>
      <c r="D8" s="1922"/>
      <c r="E8" s="1923"/>
      <c r="F8" s="1045" t="s">
        <v>341</v>
      </c>
      <c r="G8" s="1046" t="s">
        <v>85</v>
      </c>
      <c r="H8" s="1047" t="s">
        <v>743</v>
      </c>
      <c r="I8" s="1048" t="s">
        <v>744</v>
      </c>
      <c r="J8" s="1924"/>
      <c r="K8" s="1043"/>
      <c r="L8" s="1925"/>
      <c r="M8" s="1918"/>
      <c r="N8" s="1049" t="s">
        <v>763</v>
      </c>
      <c r="O8" s="1921"/>
    </row>
    <row r="9" spans="1:15" s="1032" customFormat="1" ht="25.5">
      <c r="A9" s="1050">
        <v>900</v>
      </c>
      <c r="B9" s="1051"/>
      <c r="C9" s="1052"/>
      <c r="D9" s="1053" t="s">
        <v>249</v>
      </c>
      <c r="E9" s="1054">
        <f>E10</f>
        <v>3576791.75</v>
      </c>
      <c r="F9" s="1054">
        <f aca="true" t="shared" si="0" ref="F9:K9">F10</f>
        <v>0</v>
      </c>
      <c r="G9" s="1054" t="e">
        <f t="shared" si="0"/>
        <v>#DIV/0!</v>
      </c>
      <c r="H9" s="1054">
        <f t="shared" si="0"/>
        <v>0</v>
      </c>
      <c r="I9" s="1055">
        <f t="shared" si="0"/>
        <v>0</v>
      </c>
      <c r="J9" s="1056">
        <f t="shared" si="0"/>
        <v>3335163.81</v>
      </c>
      <c r="K9" s="1057">
        <f t="shared" si="0"/>
        <v>0</v>
      </c>
      <c r="L9" s="1058">
        <f>J9/E9</f>
        <v>0.9324456225330983</v>
      </c>
      <c r="M9" s="1054">
        <f>M10</f>
        <v>490367.72</v>
      </c>
      <c r="N9" s="1054">
        <f>N10</f>
        <v>452207.32</v>
      </c>
      <c r="O9" s="1054">
        <f>O10</f>
        <v>18509.08</v>
      </c>
    </row>
    <row r="10" spans="1:15" ht="12.75">
      <c r="A10" s="1059"/>
      <c r="B10" s="1060">
        <v>90002</v>
      </c>
      <c r="C10" s="1060"/>
      <c r="D10" s="1061" t="s">
        <v>250</v>
      </c>
      <c r="E10" s="1062">
        <f>E11+E12+E13</f>
        <v>3576791.75</v>
      </c>
      <c r="F10" s="1062">
        <f aca="true" t="shared" si="1" ref="F10:K10">F11+F12+F13</f>
        <v>0</v>
      </c>
      <c r="G10" s="1062" t="e">
        <f t="shared" si="1"/>
        <v>#DIV/0!</v>
      </c>
      <c r="H10" s="1062">
        <f t="shared" si="1"/>
        <v>0</v>
      </c>
      <c r="I10" s="1063">
        <f t="shared" si="1"/>
        <v>0</v>
      </c>
      <c r="J10" s="1064">
        <f t="shared" si="1"/>
        <v>3335163.81</v>
      </c>
      <c r="K10" s="1065">
        <f t="shared" si="1"/>
        <v>0</v>
      </c>
      <c r="L10" s="1066">
        <f>J10/E10</f>
        <v>0.9324456225330983</v>
      </c>
      <c r="M10" s="1062">
        <f>M11+M12+M13</f>
        <v>490367.72</v>
      </c>
      <c r="N10" s="1062">
        <f>N11+N12+N13</f>
        <v>452207.32</v>
      </c>
      <c r="O10" s="1062">
        <f>O11+O12+O13</f>
        <v>18509.08</v>
      </c>
    </row>
    <row r="11" spans="1:15" ht="38.25">
      <c r="A11" s="1067"/>
      <c r="B11" s="1068"/>
      <c r="C11" s="1225" t="s">
        <v>382</v>
      </c>
      <c r="D11" s="1226" t="s">
        <v>745</v>
      </c>
      <c r="E11" s="1198">
        <v>3568249.99</v>
      </c>
      <c r="F11" s="1227"/>
      <c r="G11" s="1228">
        <f>F11/E11</f>
        <v>0</v>
      </c>
      <c r="H11" s="1229"/>
      <c r="I11" s="1230"/>
      <c r="J11" s="1231">
        <v>3326268.11</v>
      </c>
      <c r="K11" s="1243"/>
      <c r="L11" s="1232">
        <f>J11/E11</f>
        <v>0.9321847178089671</v>
      </c>
      <c r="M11" s="1229">
        <v>456850.72</v>
      </c>
      <c r="N11" s="1229">
        <v>452207.32</v>
      </c>
      <c r="O11" s="1229">
        <v>18509.08</v>
      </c>
    </row>
    <row r="12" spans="1:15" ht="12.75">
      <c r="A12" s="1067"/>
      <c r="B12" s="1068"/>
      <c r="C12" s="1233" t="s">
        <v>91</v>
      </c>
      <c r="D12" s="1234" t="s">
        <v>347</v>
      </c>
      <c r="E12" s="1227">
        <v>0</v>
      </c>
      <c r="F12" s="1227"/>
      <c r="G12" s="1228" t="e">
        <f>F12/E12</f>
        <v>#DIV/0!</v>
      </c>
      <c r="H12" s="1229">
        <v>0</v>
      </c>
      <c r="I12" s="1230">
        <v>0</v>
      </c>
      <c r="J12" s="1231">
        <v>0</v>
      </c>
      <c r="K12" s="1243"/>
      <c r="L12" s="1232">
        <v>0</v>
      </c>
      <c r="M12" s="1229">
        <v>0</v>
      </c>
      <c r="N12" s="1229">
        <v>0</v>
      </c>
      <c r="O12" s="1229">
        <v>0</v>
      </c>
    </row>
    <row r="13" spans="1:15" ht="26.25" thickBot="1">
      <c r="A13" s="1067"/>
      <c r="B13" s="1068"/>
      <c r="C13" s="1235" t="s">
        <v>431</v>
      </c>
      <c r="D13" s="1236" t="s">
        <v>746</v>
      </c>
      <c r="E13" s="1237">
        <v>8541.76</v>
      </c>
      <c r="F13" s="1238"/>
      <c r="G13" s="1239">
        <v>0</v>
      </c>
      <c r="H13" s="1240"/>
      <c r="I13" s="1241">
        <v>0</v>
      </c>
      <c r="J13" s="1242">
        <v>8895.7</v>
      </c>
      <c r="K13" s="1244"/>
      <c r="L13" s="1232">
        <f>J13/E13</f>
        <v>1.041436425280036</v>
      </c>
      <c r="M13" s="1240">
        <v>33517</v>
      </c>
      <c r="N13" s="1240">
        <v>0</v>
      </c>
      <c r="O13" s="1240">
        <v>0</v>
      </c>
    </row>
    <row r="14" spans="1:15" ht="21" customHeight="1" thickBot="1">
      <c r="A14" s="1069"/>
      <c r="B14" s="1070"/>
      <c r="C14" s="1071"/>
      <c r="D14" s="1072" t="s">
        <v>226</v>
      </c>
      <c r="E14" s="1073">
        <f>E9</f>
        <v>3576791.75</v>
      </c>
      <c r="F14" s="1073">
        <f aca="true" t="shared" si="2" ref="F14:K14">F9</f>
        <v>0</v>
      </c>
      <c r="G14" s="1073" t="e">
        <f t="shared" si="2"/>
        <v>#DIV/0!</v>
      </c>
      <c r="H14" s="1073">
        <f t="shared" si="2"/>
        <v>0</v>
      </c>
      <c r="I14" s="1074">
        <f t="shared" si="2"/>
        <v>0</v>
      </c>
      <c r="J14" s="1075">
        <f>J9</f>
        <v>3335163.81</v>
      </c>
      <c r="K14" s="1076">
        <f t="shared" si="2"/>
        <v>0</v>
      </c>
      <c r="L14" s="1077">
        <f>J14/E14</f>
        <v>0.9324456225330983</v>
      </c>
      <c r="M14" s="1073">
        <f>M9</f>
        <v>490367.72</v>
      </c>
      <c r="N14" s="1073">
        <f>N9</f>
        <v>452207.32</v>
      </c>
      <c r="O14" s="1073">
        <f>O9</f>
        <v>18509.08</v>
      </c>
    </row>
    <row r="15" spans="1:11" ht="20.25" customHeight="1" thickBot="1">
      <c r="A15" s="1911" t="s">
        <v>348</v>
      </c>
      <c r="B15" s="1911"/>
      <c r="C15" s="1911"/>
      <c r="D15" s="1911"/>
      <c r="E15" s="543"/>
      <c r="F15" s="1912"/>
      <c r="G15" s="1913"/>
      <c r="H15" s="1913"/>
      <c r="J15" s="1008"/>
      <c r="K15" s="1007"/>
    </row>
    <row r="16" spans="1:15" ht="42" customHeight="1" thickBot="1">
      <c r="A16" s="1078" t="s">
        <v>0</v>
      </c>
      <c r="B16" s="1079" t="s">
        <v>1</v>
      </c>
      <c r="C16" s="1079" t="s">
        <v>112</v>
      </c>
      <c r="D16" s="1080" t="s">
        <v>229</v>
      </c>
      <c r="E16" s="1081" t="s">
        <v>896</v>
      </c>
      <c r="F16" s="1082" t="s">
        <v>341</v>
      </c>
      <c r="G16" s="1083" t="s">
        <v>85</v>
      </c>
      <c r="H16" s="1084" t="s">
        <v>721</v>
      </c>
      <c r="I16" s="1085" t="s">
        <v>747</v>
      </c>
      <c r="J16" s="1086" t="s">
        <v>883</v>
      </c>
      <c r="K16" s="1087"/>
      <c r="L16" s="1088" t="s">
        <v>85</v>
      </c>
      <c r="M16" s="1089" t="s">
        <v>766</v>
      </c>
      <c r="N16" s="1013"/>
      <c r="O16" s="1014"/>
    </row>
    <row r="17" spans="1:16" ht="25.5">
      <c r="A17" s="1090">
        <v>900</v>
      </c>
      <c r="B17" s="1091"/>
      <c r="C17" s="1092"/>
      <c r="D17" s="1093" t="s">
        <v>249</v>
      </c>
      <c r="E17" s="1094">
        <f>E18</f>
        <v>3858043.75</v>
      </c>
      <c r="F17" s="1094" t="e">
        <f aca="true" t="shared" si="3" ref="F17:K17">F18</f>
        <v>#REF!</v>
      </c>
      <c r="G17" s="1094" t="e">
        <f t="shared" si="3"/>
        <v>#REF!</v>
      </c>
      <c r="H17" s="1094" t="e">
        <f t="shared" si="3"/>
        <v>#REF!</v>
      </c>
      <c r="I17" s="1095" t="e">
        <f t="shared" si="3"/>
        <v>#REF!</v>
      </c>
      <c r="J17" s="1096">
        <f t="shared" si="3"/>
        <v>3638996.4</v>
      </c>
      <c r="K17" s="1097" t="e">
        <f t="shared" si="3"/>
        <v>#REF!</v>
      </c>
      <c r="L17" s="1098">
        <f>J17/E17</f>
        <v>0.9432232073573557</v>
      </c>
      <c r="M17" s="1099">
        <f>M18</f>
        <v>224244.93</v>
      </c>
      <c r="N17" s="1038"/>
      <c r="O17" s="1039"/>
      <c r="P17" s="1034"/>
    </row>
    <row r="18" spans="1:15" ht="12.75">
      <c r="A18" s="1100"/>
      <c r="B18" s="1060">
        <v>90002</v>
      </c>
      <c r="C18" s="1060"/>
      <c r="D18" s="1101" t="s">
        <v>250</v>
      </c>
      <c r="E18" s="1102">
        <f>E19+E24+E30+E37+E44+E45+E46+E56+E57+E58</f>
        <v>3858043.75</v>
      </c>
      <c r="F18" s="1102" t="e">
        <f>F45+F46+F57+F19+F24+F30+F37+F56+F58</f>
        <v>#REF!</v>
      </c>
      <c r="G18" s="1102" t="e">
        <f>G45+G46+G57+G19+G24+G30+G37+G56+G58</f>
        <v>#REF!</v>
      </c>
      <c r="H18" s="1102" t="e">
        <f>H45+H46+H57+H19+H24+H30+H37+H56+H58</f>
        <v>#REF!</v>
      </c>
      <c r="I18" s="1103" t="e">
        <f>I45+I46+I57+I19+I24+I30+I37+I56+I58</f>
        <v>#REF!</v>
      </c>
      <c r="J18" s="1104">
        <f>J45+J46+J57+J19+J24+J30+J37+J56+J58+J44</f>
        <v>3638996.4</v>
      </c>
      <c r="K18" s="1105" t="e">
        <f>K45+K46+K57+K19+K24+K30+K37+K56+K58</f>
        <v>#REF!</v>
      </c>
      <c r="L18" s="1106">
        <f>J18/E18</f>
        <v>0.9432232073573557</v>
      </c>
      <c r="M18" s="1102">
        <f>M24+M30+M37+M46</f>
        <v>224244.93</v>
      </c>
      <c r="N18" s="1030"/>
      <c r="O18" s="1031"/>
    </row>
    <row r="19" spans="1:15" ht="12.75">
      <c r="A19" s="1107"/>
      <c r="B19" s="1108"/>
      <c r="C19" s="1914">
        <v>4010</v>
      </c>
      <c r="D19" s="1166" t="s">
        <v>12</v>
      </c>
      <c r="E19" s="1167">
        <v>159515.04</v>
      </c>
      <c r="F19" s="1167" t="e">
        <f>#REF!+F20+F21+F22+#REF!</f>
        <v>#REF!</v>
      </c>
      <c r="G19" s="1167" t="e">
        <f>#REF!+G20+G21+G22+#REF!</f>
        <v>#REF!</v>
      </c>
      <c r="H19" s="1167" t="e">
        <f>#REF!+H20+H21+H22+#REF!</f>
        <v>#REF!</v>
      </c>
      <c r="I19" s="1168" t="e">
        <f>#REF!+I20+I21+I22+#REF!</f>
        <v>#REF!</v>
      </c>
      <c r="J19" s="1169">
        <v>152696.3</v>
      </c>
      <c r="K19" s="1170" t="e">
        <f>K20+K21+K22+#REF!+K23</f>
        <v>#REF!</v>
      </c>
      <c r="L19" s="1171">
        <f>J19/E19</f>
        <v>0.957253309781949</v>
      </c>
      <c r="M19" s="1167"/>
      <c r="N19" s="1036"/>
      <c r="O19" s="1037"/>
    </row>
    <row r="20" spans="1:15" ht="12.75" customHeight="1" hidden="1">
      <c r="A20" s="1107"/>
      <c r="B20" s="1109"/>
      <c r="C20" s="1915"/>
      <c r="D20" s="1172" t="s">
        <v>767</v>
      </c>
      <c r="E20" s="1173"/>
      <c r="F20" s="1174"/>
      <c r="G20" s="1175"/>
      <c r="H20" s="1176"/>
      <c r="I20" s="1177"/>
      <c r="J20" s="1178">
        <v>37936.11</v>
      </c>
      <c r="K20" s="1179">
        <v>2904.3</v>
      </c>
      <c r="L20" s="1171" t="e">
        <f aca="true" t="shared" si="4" ref="L20:L46">J20/E20</f>
        <v>#DIV/0!</v>
      </c>
      <c r="M20" s="1180"/>
      <c r="N20" s="1017"/>
      <c r="O20" s="1018"/>
    </row>
    <row r="21" spans="1:15" ht="12.75" customHeight="1" hidden="1">
      <c r="A21" s="1107"/>
      <c r="B21" s="1109"/>
      <c r="C21" s="1915"/>
      <c r="D21" s="1172" t="s">
        <v>768</v>
      </c>
      <c r="E21" s="1173"/>
      <c r="F21" s="1174"/>
      <c r="G21" s="1175"/>
      <c r="H21" s="1176"/>
      <c r="I21" s="1177"/>
      <c r="J21" s="1178">
        <v>35879.75</v>
      </c>
      <c r="K21" s="1179">
        <v>2786.28</v>
      </c>
      <c r="L21" s="1171" t="e">
        <f t="shared" si="4"/>
        <v>#DIV/0!</v>
      </c>
      <c r="M21" s="1180"/>
      <c r="N21" s="1017"/>
      <c r="O21" s="1018"/>
    </row>
    <row r="22" spans="1:15" ht="12.75" customHeight="1" hidden="1">
      <c r="A22" s="1107"/>
      <c r="B22" s="1109"/>
      <c r="C22" s="1915"/>
      <c r="D22" s="1172" t="s">
        <v>769</v>
      </c>
      <c r="E22" s="1173"/>
      <c r="F22" s="1174"/>
      <c r="G22" s="1175"/>
      <c r="H22" s="1176"/>
      <c r="I22" s="1177"/>
      <c r="J22" s="1178">
        <f>35716.1</f>
        <v>35716.1</v>
      </c>
      <c r="K22" s="1179">
        <v>3604.86</v>
      </c>
      <c r="L22" s="1171" t="e">
        <f t="shared" si="4"/>
        <v>#DIV/0!</v>
      </c>
      <c r="M22" s="1180"/>
      <c r="N22" s="1017"/>
      <c r="O22" s="1018"/>
    </row>
    <row r="23" spans="1:15" ht="15" customHeight="1" hidden="1">
      <c r="A23" s="1107"/>
      <c r="B23" s="1109"/>
      <c r="C23" s="1916"/>
      <c r="D23" s="1172" t="s">
        <v>753</v>
      </c>
      <c r="E23" s="1173"/>
      <c r="F23" s="1174"/>
      <c r="G23" s="1181"/>
      <c r="H23" s="1182"/>
      <c r="I23" s="1183"/>
      <c r="J23" s="1178">
        <v>38176.17</v>
      </c>
      <c r="K23" s="1179">
        <v>2898</v>
      </c>
      <c r="L23" s="1171" t="e">
        <f t="shared" si="4"/>
        <v>#DIV/0!</v>
      </c>
      <c r="M23" s="1180"/>
      <c r="N23" s="1017"/>
      <c r="O23" s="1018"/>
    </row>
    <row r="24" spans="1:15" ht="12.75">
      <c r="A24" s="1107"/>
      <c r="B24" s="1109"/>
      <c r="C24" s="1184" t="s">
        <v>578</v>
      </c>
      <c r="D24" s="1185" t="s">
        <v>579</v>
      </c>
      <c r="E24" s="1167">
        <v>11467.23</v>
      </c>
      <c r="F24" s="1167" t="e">
        <f>#REF!+F25+F26+F27</f>
        <v>#REF!</v>
      </c>
      <c r="G24" s="1167" t="e">
        <f>#REF!+G25+G26+G27</f>
        <v>#REF!</v>
      </c>
      <c r="H24" s="1167" t="e">
        <f>#REF!+H25+H26+H27</f>
        <v>#REF!</v>
      </c>
      <c r="I24" s="1168" t="e">
        <f>#REF!+I25+I26+I27</f>
        <v>#REF!</v>
      </c>
      <c r="J24" s="1169">
        <v>11467.23</v>
      </c>
      <c r="K24" s="1170" t="e">
        <f>#REF!+K25+K26+K27+K28+K29+#REF!</f>
        <v>#REF!</v>
      </c>
      <c r="L24" s="1171">
        <f t="shared" si="4"/>
        <v>1</v>
      </c>
      <c r="M24" s="1167">
        <v>10722.04</v>
      </c>
      <c r="N24" s="1019"/>
      <c r="O24" s="1020"/>
    </row>
    <row r="25" spans="1:15" ht="12.75" hidden="1">
      <c r="A25" s="1107"/>
      <c r="B25" s="1109"/>
      <c r="C25" s="1907"/>
      <c r="D25" s="1186" t="s">
        <v>767</v>
      </c>
      <c r="E25" s="1173"/>
      <c r="F25" s="1174"/>
      <c r="G25" s="1175"/>
      <c r="H25" s="1176"/>
      <c r="I25" s="1187"/>
      <c r="J25" s="1178">
        <v>2740.4</v>
      </c>
      <c r="K25" s="1087"/>
      <c r="L25" s="1171" t="e">
        <f t="shared" si="4"/>
        <v>#DIV/0!</v>
      </c>
      <c r="M25" s="1180"/>
      <c r="N25" s="1021"/>
      <c r="O25" s="1022"/>
    </row>
    <row r="26" spans="1:15" ht="12.75" hidden="1">
      <c r="A26" s="1107"/>
      <c r="B26" s="1109"/>
      <c r="C26" s="1907"/>
      <c r="D26" s="1188" t="s">
        <v>770</v>
      </c>
      <c r="E26" s="1173"/>
      <c r="F26" s="1174"/>
      <c r="G26" s="1175"/>
      <c r="H26" s="1176"/>
      <c r="I26" s="1187"/>
      <c r="J26" s="1178">
        <v>2664.51</v>
      </c>
      <c r="K26" s="1087"/>
      <c r="L26" s="1171" t="e">
        <f t="shared" si="4"/>
        <v>#DIV/0!</v>
      </c>
      <c r="M26" s="1180"/>
      <c r="N26" s="1021"/>
      <c r="O26" s="1022"/>
    </row>
    <row r="27" spans="1:15" ht="12.75" hidden="1">
      <c r="A27" s="1107"/>
      <c r="B27" s="1109"/>
      <c r="C27" s="1907"/>
      <c r="D27" s="1188" t="s">
        <v>771</v>
      </c>
      <c r="E27" s="1173"/>
      <c r="F27" s="1174"/>
      <c r="G27" s="1175"/>
      <c r="H27" s="1176"/>
      <c r="I27" s="1187"/>
      <c r="J27" s="1178">
        <v>2619.11</v>
      </c>
      <c r="K27" s="1087"/>
      <c r="L27" s="1171" t="e">
        <f t="shared" si="4"/>
        <v>#DIV/0!</v>
      </c>
      <c r="M27" s="1180"/>
      <c r="N27" s="1017"/>
      <c r="O27" s="1022"/>
    </row>
    <row r="28" spans="1:15" ht="12.75" hidden="1">
      <c r="A28" s="1107"/>
      <c r="B28" s="1109"/>
      <c r="C28" s="1907"/>
      <c r="D28" s="1189" t="s">
        <v>752</v>
      </c>
      <c r="E28" s="1173"/>
      <c r="F28" s="1174"/>
      <c r="G28" s="1181"/>
      <c r="H28" s="1182"/>
      <c r="I28" s="1190"/>
      <c r="J28" s="1178">
        <v>1630.98</v>
      </c>
      <c r="K28" s="1087"/>
      <c r="L28" s="1171" t="e">
        <f t="shared" si="4"/>
        <v>#DIV/0!</v>
      </c>
      <c r="M28" s="1180"/>
      <c r="N28" s="1021"/>
      <c r="O28" s="1022"/>
    </row>
    <row r="29" spans="1:15" ht="12.75" hidden="1">
      <c r="A29" s="1107"/>
      <c r="B29" s="1109"/>
      <c r="C29" s="1908"/>
      <c r="D29" s="1189" t="s">
        <v>753</v>
      </c>
      <c r="E29" s="1173"/>
      <c r="F29" s="1174"/>
      <c r="G29" s="1181"/>
      <c r="H29" s="1182"/>
      <c r="I29" s="1190"/>
      <c r="J29" s="1178">
        <v>0</v>
      </c>
      <c r="K29" s="1087"/>
      <c r="L29" s="1171" t="e">
        <f t="shared" si="4"/>
        <v>#DIV/0!</v>
      </c>
      <c r="M29" s="1180"/>
      <c r="N29" s="1021"/>
      <c r="O29" s="1022"/>
    </row>
    <row r="30" spans="1:15" ht="12.75">
      <c r="A30" s="1107"/>
      <c r="B30" s="1109"/>
      <c r="C30" s="1191">
        <v>4110</v>
      </c>
      <c r="D30" s="1192" t="s">
        <v>754</v>
      </c>
      <c r="E30" s="1167">
        <v>26525.29</v>
      </c>
      <c r="F30" s="1167">
        <f>SUM(F31:F34)</f>
        <v>0</v>
      </c>
      <c r="G30" s="1167">
        <f>SUM(G31:G34)</f>
        <v>0</v>
      </c>
      <c r="H30" s="1167">
        <f>SUM(H31:H34)</f>
        <v>0</v>
      </c>
      <c r="I30" s="1168">
        <f>SUM(I31:I34)</f>
        <v>0</v>
      </c>
      <c r="J30" s="1169">
        <v>25098.91</v>
      </c>
      <c r="K30" s="1170">
        <f>SUM(K31:K36)</f>
        <v>0</v>
      </c>
      <c r="L30" s="1171">
        <f t="shared" si="4"/>
        <v>0.946225658607314</v>
      </c>
      <c r="M30" s="1167">
        <v>1833.45</v>
      </c>
      <c r="N30" s="1015"/>
      <c r="O30" s="1016"/>
    </row>
    <row r="31" spans="1:15" ht="12.75" hidden="1">
      <c r="A31" s="1107"/>
      <c r="B31" s="1109"/>
      <c r="C31" s="1936"/>
      <c r="D31" s="1193" t="s">
        <v>767</v>
      </c>
      <c r="E31" s="1194">
        <f aca="true" t="shared" si="5" ref="E31:F33">(E20+E25)*17.19%</f>
        <v>0</v>
      </c>
      <c r="F31" s="1190">
        <f t="shared" si="5"/>
        <v>0</v>
      </c>
      <c r="G31" s="1175"/>
      <c r="H31" s="1176"/>
      <c r="I31" s="1187"/>
      <c r="J31" s="1178">
        <f>((J20+J25)-(2157.3))*17.1%</f>
        <v>6586.78491</v>
      </c>
      <c r="K31" s="1087"/>
      <c r="L31" s="1171" t="e">
        <f t="shared" si="4"/>
        <v>#DIV/0!</v>
      </c>
      <c r="M31" s="1180"/>
      <c r="N31" s="1017"/>
      <c r="O31" s="1018"/>
    </row>
    <row r="32" spans="1:15" ht="12.75" hidden="1">
      <c r="A32" s="1107"/>
      <c r="B32" s="1109"/>
      <c r="C32" s="1936"/>
      <c r="D32" s="1189" t="s">
        <v>772</v>
      </c>
      <c r="E32" s="1194">
        <f t="shared" si="5"/>
        <v>0</v>
      </c>
      <c r="F32" s="1190">
        <f t="shared" si="5"/>
        <v>0</v>
      </c>
      <c r="G32" s="1175"/>
      <c r="H32" s="1176"/>
      <c r="I32" s="1187"/>
      <c r="J32" s="1178">
        <f>(J21+J26)*17.1%</f>
        <v>6591.06846</v>
      </c>
      <c r="K32" s="1087"/>
      <c r="L32" s="1171" t="e">
        <f t="shared" si="4"/>
        <v>#DIV/0!</v>
      </c>
      <c r="M32" s="1180"/>
      <c r="N32" s="1017"/>
      <c r="O32" s="1018"/>
    </row>
    <row r="33" spans="1:15" ht="12.75" hidden="1">
      <c r="A33" s="1107"/>
      <c r="B33" s="1109"/>
      <c r="C33" s="1936"/>
      <c r="D33" s="1193" t="s">
        <v>773</v>
      </c>
      <c r="E33" s="1194">
        <f t="shared" si="5"/>
        <v>0</v>
      </c>
      <c r="F33" s="1190">
        <f t="shared" si="5"/>
        <v>0</v>
      </c>
      <c r="G33" s="1175"/>
      <c r="H33" s="1176"/>
      <c r="I33" s="1187"/>
      <c r="J33" s="1178">
        <v>5708.59</v>
      </c>
      <c r="K33" s="1087"/>
      <c r="L33" s="1171" t="e">
        <f t="shared" si="4"/>
        <v>#DIV/0!</v>
      </c>
      <c r="M33" s="1180"/>
      <c r="N33" s="1017"/>
      <c r="O33" s="1018"/>
    </row>
    <row r="34" spans="1:15" ht="12.75" hidden="1">
      <c r="A34" s="1107"/>
      <c r="B34" s="1109"/>
      <c r="C34" s="1936"/>
      <c r="D34" s="1189" t="s">
        <v>752</v>
      </c>
      <c r="E34" s="1194">
        <v>4562.71</v>
      </c>
      <c r="F34" s="1190"/>
      <c r="G34" s="1175"/>
      <c r="H34" s="1176"/>
      <c r="I34" s="1187"/>
      <c r="J34" s="1178">
        <f>J28*17.19%</f>
        <v>280.36546200000004</v>
      </c>
      <c r="K34" s="1087"/>
      <c r="L34" s="1171">
        <f t="shared" si="4"/>
        <v>0.06144713602223241</v>
      </c>
      <c r="M34" s="1180"/>
      <c r="N34" s="1017"/>
      <c r="O34" s="1018"/>
    </row>
    <row r="35" spans="1:15" ht="12.75" hidden="1">
      <c r="A35" s="1107"/>
      <c r="B35" s="1109"/>
      <c r="C35" s="1937"/>
      <c r="D35" s="1189" t="s">
        <v>753</v>
      </c>
      <c r="E35" s="1194"/>
      <c r="F35" s="1190"/>
      <c r="G35" s="1181"/>
      <c r="H35" s="1182"/>
      <c r="I35" s="1190"/>
      <c r="J35" s="1178">
        <f>(J23+J29)*17.1%</f>
        <v>6528.12507</v>
      </c>
      <c r="K35" s="1087"/>
      <c r="L35" s="1171" t="e">
        <f t="shared" si="4"/>
        <v>#DIV/0!</v>
      </c>
      <c r="M35" s="1180"/>
      <c r="N35" s="1017"/>
      <c r="O35" s="1018"/>
    </row>
    <row r="36" spans="1:15" ht="12.75" hidden="1">
      <c r="A36" s="1107"/>
      <c r="B36" s="1109"/>
      <c r="C36" s="1195"/>
      <c r="D36" s="1189" t="s">
        <v>758</v>
      </c>
      <c r="E36" s="1194"/>
      <c r="F36" s="1190"/>
      <c r="G36" s="1181"/>
      <c r="H36" s="1182"/>
      <c r="I36" s="1190"/>
      <c r="J36" s="1178">
        <v>0</v>
      </c>
      <c r="K36" s="1087"/>
      <c r="L36" s="1171" t="e">
        <f t="shared" si="4"/>
        <v>#DIV/0!</v>
      </c>
      <c r="M36" s="1180"/>
      <c r="N36" s="1017"/>
      <c r="O36" s="1023"/>
    </row>
    <row r="37" spans="1:16" ht="12.75">
      <c r="A37" s="1107"/>
      <c r="B37" s="1109"/>
      <c r="C37" s="1196">
        <v>4120</v>
      </c>
      <c r="D37" s="1197" t="s">
        <v>14</v>
      </c>
      <c r="E37" s="1167">
        <v>3363.51</v>
      </c>
      <c r="F37" s="1167" t="e">
        <f>#REF!+F38+F39+F40+F41</f>
        <v>#REF!</v>
      </c>
      <c r="G37" s="1167" t="e">
        <f>#REF!+G38+G39+G40+G41</f>
        <v>#REF!</v>
      </c>
      <c r="H37" s="1167" t="e">
        <f>#REF!+H38+H39+H40+H41</f>
        <v>#REF!</v>
      </c>
      <c r="I37" s="1168" t="e">
        <f>#REF!+I38+I39+I40+I41</f>
        <v>#REF!</v>
      </c>
      <c r="J37" s="1169">
        <v>3297.51</v>
      </c>
      <c r="K37" s="1170" t="e">
        <f>#REF!+K38+K39+K40+K41+#REF!+K42+K43</f>
        <v>#REF!</v>
      </c>
      <c r="L37" s="1171">
        <f t="shared" si="4"/>
        <v>0.9803776412140889</v>
      </c>
      <c r="M37" s="1167">
        <v>246.51</v>
      </c>
      <c r="N37" s="1015"/>
      <c r="O37" s="1016"/>
      <c r="P37" s="1009"/>
    </row>
    <row r="38" spans="1:16" ht="12.75" hidden="1">
      <c r="A38" s="1107"/>
      <c r="B38" s="1109"/>
      <c r="C38" s="1936"/>
      <c r="D38" s="1193" t="s">
        <v>755</v>
      </c>
      <c r="E38" s="1198">
        <f>(E20+E25)*2.45%</f>
        <v>0</v>
      </c>
      <c r="F38" s="1183">
        <f>(F20+F25)*2.45%</f>
        <v>0</v>
      </c>
      <c r="G38" s="1199"/>
      <c r="H38" s="1200"/>
      <c r="I38" s="1201"/>
      <c r="J38" s="1202">
        <f>((J25+J20)-(2506.98))*2.45%</f>
        <v>935.153485</v>
      </c>
      <c r="K38" s="1087"/>
      <c r="L38" s="1171" t="e">
        <f t="shared" si="4"/>
        <v>#DIV/0!</v>
      </c>
      <c r="M38" s="1180"/>
      <c r="N38" s="1021"/>
      <c r="O38" s="1011"/>
      <c r="P38" s="1009"/>
    </row>
    <row r="39" spans="1:16" ht="12.75" hidden="1">
      <c r="A39" s="1107"/>
      <c r="B39" s="1109"/>
      <c r="C39" s="1936"/>
      <c r="D39" s="1193" t="s">
        <v>756</v>
      </c>
      <c r="E39" s="1198">
        <f>(E21+E26)*2.45%</f>
        <v>0</v>
      </c>
      <c r="F39" s="1183">
        <f>(F21+F26)*2.45%</f>
        <v>0</v>
      </c>
      <c r="G39" s="1199"/>
      <c r="H39" s="1200"/>
      <c r="I39" s="1201"/>
      <c r="J39" s="1202">
        <f>((J26+J21)-(317.57))*2.45%</f>
        <v>936.5539050000001</v>
      </c>
      <c r="K39" s="1087"/>
      <c r="L39" s="1171" t="e">
        <f t="shared" si="4"/>
        <v>#DIV/0!</v>
      </c>
      <c r="M39" s="1180"/>
      <c r="N39" s="1021"/>
      <c r="O39" s="1011"/>
      <c r="P39" s="1009"/>
    </row>
    <row r="40" spans="1:16" ht="12.75" hidden="1">
      <c r="A40" s="1107"/>
      <c r="B40" s="1109"/>
      <c r="C40" s="1936"/>
      <c r="D40" s="1189" t="s">
        <v>757</v>
      </c>
      <c r="E40" s="1198">
        <v>0</v>
      </c>
      <c r="F40" s="1183">
        <f>(F22+F27)*2.45%</f>
        <v>0</v>
      </c>
      <c r="G40" s="1199"/>
      <c r="H40" s="1200"/>
      <c r="I40" s="1201"/>
      <c r="J40" s="1202">
        <v>0</v>
      </c>
      <c r="K40" s="1087"/>
      <c r="L40" s="1171" t="e">
        <f t="shared" si="4"/>
        <v>#DIV/0!</v>
      </c>
      <c r="M40" s="1180"/>
      <c r="N40" s="1021"/>
      <c r="O40" s="1011"/>
      <c r="P40" s="1009"/>
    </row>
    <row r="41" spans="1:16" ht="12.75" hidden="1">
      <c r="A41" s="1107"/>
      <c r="B41" s="1109"/>
      <c r="C41" s="1936"/>
      <c r="D41" s="1189" t="s">
        <v>752</v>
      </c>
      <c r="E41" s="1198"/>
      <c r="F41" s="1183"/>
      <c r="G41" s="1199"/>
      <c r="H41" s="1200"/>
      <c r="I41" s="1201"/>
      <c r="J41" s="1202">
        <f>35.96</f>
        <v>35.96</v>
      </c>
      <c r="K41" s="1087"/>
      <c r="L41" s="1171" t="e">
        <f t="shared" si="4"/>
        <v>#DIV/0!</v>
      </c>
      <c r="M41" s="1180"/>
      <c r="N41" s="1021"/>
      <c r="O41" s="1011"/>
      <c r="P41" s="1009"/>
    </row>
    <row r="42" spans="1:16" ht="12.75" hidden="1">
      <c r="A42" s="1107"/>
      <c r="B42" s="1109"/>
      <c r="C42" s="1937"/>
      <c r="D42" s="1189" t="s">
        <v>753</v>
      </c>
      <c r="E42" s="1198"/>
      <c r="F42" s="1183"/>
      <c r="G42" s="1199"/>
      <c r="H42" s="1200"/>
      <c r="I42" s="1201"/>
      <c r="J42" s="1202">
        <f>927.54-3.79</f>
        <v>923.75</v>
      </c>
      <c r="K42" s="1087"/>
      <c r="L42" s="1171" t="e">
        <f t="shared" si="4"/>
        <v>#DIV/0!</v>
      </c>
      <c r="M42" s="1180"/>
      <c r="N42" s="1021"/>
      <c r="O42" s="1011"/>
      <c r="P42" s="1009"/>
    </row>
    <row r="43" spans="1:16" ht="12.75" hidden="1">
      <c r="A43" s="1107"/>
      <c r="B43" s="1109"/>
      <c r="C43" s="1195"/>
      <c r="D43" s="1189" t="s">
        <v>759</v>
      </c>
      <c r="E43" s="1198"/>
      <c r="F43" s="1183"/>
      <c r="G43" s="1199"/>
      <c r="H43" s="1200"/>
      <c r="I43" s="1201"/>
      <c r="J43" s="1202">
        <v>0</v>
      </c>
      <c r="K43" s="1087"/>
      <c r="L43" s="1171" t="e">
        <f t="shared" si="4"/>
        <v>#DIV/0!</v>
      </c>
      <c r="M43" s="1180"/>
      <c r="N43" s="1021"/>
      <c r="O43" s="1011"/>
      <c r="P43" s="1009"/>
    </row>
    <row r="44" spans="1:16" ht="12.75">
      <c r="A44" s="1107"/>
      <c r="B44" s="1109"/>
      <c r="C44" s="1203">
        <v>4170</v>
      </c>
      <c r="D44" s="1166" t="s">
        <v>28</v>
      </c>
      <c r="E44" s="1167">
        <v>0</v>
      </c>
      <c r="F44" s="1183"/>
      <c r="G44" s="1199"/>
      <c r="H44" s="1200"/>
      <c r="I44" s="1201"/>
      <c r="J44" s="1204">
        <v>0</v>
      </c>
      <c r="K44" s="1087"/>
      <c r="L44" s="1171">
        <v>0</v>
      </c>
      <c r="M44" s="1205"/>
      <c r="N44" s="1024"/>
      <c r="O44" s="1025"/>
      <c r="P44" s="1009"/>
    </row>
    <row r="45" spans="1:15" ht="12.75">
      <c r="A45" s="1107"/>
      <c r="B45" s="1111"/>
      <c r="C45" s="1206">
        <v>4210</v>
      </c>
      <c r="D45" s="1207" t="s">
        <v>15</v>
      </c>
      <c r="E45" s="1208">
        <v>11896</v>
      </c>
      <c r="F45" s="1209"/>
      <c r="G45" s="1210">
        <f>F45/E45</f>
        <v>0</v>
      </c>
      <c r="H45" s="1200">
        <v>0</v>
      </c>
      <c r="I45" s="1211">
        <f>(H45+F45)/E45</f>
        <v>0</v>
      </c>
      <c r="J45" s="1204">
        <v>11183.31</v>
      </c>
      <c r="K45" s="1212">
        <v>9000</v>
      </c>
      <c r="L45" s="1171">
        <f t="shared" si="4"/>
        <v>0.9400899462004034</v>
      </c>
      <c r="M45" s="1213"/>
      <c r="N45" s="1021"/>
      <c r="O45" s="1026"/>
    </row>
    <row r="46" spans="1:15" ht="12.75">
      <c r="A46" s="1107"/>
      <c r="B46" s="1111"/>
      <c r="C46" s="1206">
        <v>4300</v>
      </c>
      <c r="D46" s="1192" t="s">
        <v>16</v>
      </c>
      <c r="E46" s="1214">
        <v>3637974.68</v>
      </c>
      <c r="F46" s="1215"/>
      <c r="G46" s="1210">
        <f>F46/E46</f>
        <v>0</v>
      </c>
      <c r="H46" s="1200">
        <f>H48+H51+H53</f>
        <v>0</v>
      </c>
      <c r="I46" s="1211">
        <f>(H46+F46)/E46</f>
        <v>0</v>
      </c>
      <c r="J46" s="1204">
        <v>3429357.14</v>
      </c>
      <c r="K46" s="1212">
        <f>K48+K51+K53+K52+K54</f>
        <v>0</v>
      </c>
      <c r="L46" s="1171">
        <f t="shared" si="4"/>
        <v>0.9426555821988294</v>
      </c>
      <c r="M46" s="1205">
        <v>211442.93</v>
      </c>
      <c r="N46" s="1021"/>
      <c r="O46" s="1027"/>
    </row>
    <row r="47" spans="1:15" ht="12.75">
      <c r="A47" s="1107"/>
      <c r="B47" s="1111"/>
      <c r="C47" s="1113"/>
      <c r="D47" s="1114" t="s">
        <v>92</v>
      </c>
      <c r="E47" s="1033"/>
      <c r="F47" s="1115"/>
      <c r="G47" s="1112"/>
      <c r="H47" s="1116"/>
      <c r="I47" s="1117"/>
      <c r="J47" s="1118"/>
      <c r="K47" s="1110"/>
      <c r="L47" s="1119"/>
      <c r="M47" s="1120"/>
      <c r="N47" s="1021"/>
      <c r="O47" s="1011"/>
    </row>
    <row r="48" spans="1:15" ht="24">
      <c r="A48" s="1107"/>
      <c r="B48" s="1111"/>
      <c r="C48" s="1121"/>
      <c r="D48" s="1122" t="s">
        <v>765</v>
      </c>
      <c r="E48" s="1123">
        <v>2188377.22</v>
      </c>
      <c r="F48" s="1124"/>
      <c r="G48" s="1125">
        <f>F48/E48</f>
        <v>0</v>
      </c>
      <c r="H48" s="1126"/>
      <c r="I48" s="1127">
        <f>(H48+F48)/E48</f>
        <v>0</v>
      </c>
      <c r="J48" s="1128">
        <v>2006012.47</v>
      </c>
      <c r="K48" s="1129"/>
      <c r="L48" s="1130">
        <f>J48/E48</f>
        <v>0.9166666750442594</v>
      </c>
      <c r="M48" s="1131">
        <v>182364.77</v>
      </c>
      <c r="N48" s="1021"/>
      <c r="O48" s="1022"/>
    </row>
    <row r="49" spans="1:15" ht="36">
      <c r="A49" s="1107"/>
      <c r="B49" s="1111"/>
      <c r="C49" s="1121"/>
      <c r="D49" s="1122" t="s">
        <v>826</v>
      </c>
      <c r="E49" s="1935">
        <v>32294.96</v>
      </c>
      <c r="F49" s="1124"/>
      <c r="G49" s="1125"/>
      <c r="H49" s="1126"/>
      <c r="I49" s="1127"/>
      <c r="J49" s="1128">
        <v>1800</v>
      </c>
      <c r="K49" s="1129"/>
      <c r="L49" s="1926">
        <f>(J49+J50)/E49</f>
        <v>0.6033932229672989</v>
      </c>
      <c r="M49" s="1131">
        <v>1156.2</v>
      </c>
      <c r="N49" s="1021"/>
      <c r="O49" s="1022"/>
    </row>
    <row r="50" spans="1:15" ht="12.75">
      <c r="A50" s="1107"/>
      <c r="B50" s="1111"/>
      <c r="C50" s="1121"/>
      <c r="D50" s="1122" t="s">
        <v>764</v>
      </c>
      <c r="E50" s="1935"/>
      <c r="F50" s="1124"/>
      <c r="G50" s="1125"/>
      <c r="H50" s="1126"/>
      <c r="I50" s="1127"/>
      <c r="J50" s="1128">
        <f>1150.03+16536.53</f>
        <v>17686.559999999998</v>
      </c>
      <c r="K50" s="1129"/>
      <c r="L50" s="1926"/>
      <c r="M50" s="1132"/>
      <c r="N50" s="1021"/>
      <c r="O50" s="1022"/>
    </row>
    <row r="51" spans="1:15" ht="12.75">
      <c r="A51" s="1107"/>
      <c r="B51" s="1111"/>
      <c r="C51" s="1121"/>
      <c r="D51" s="1122" t="s">
        <v>748</v>
      </c>
      <c r="E51" s="1123">
        <v>39500</v>
      </c>
      <c r="F51" s="1124"/>
      <c r="G51" s="1125">
        <f>F51/E51</f>
        <v>0</v>
      </c>
      <c r="H51" s="1126"/>
      <c r="I51" s="1133">
        <f>(H51+F51)/E51</f>
        <v>0</v>
      </c>
      <c r="J51" s="1128">
        <v>34688.8</v>
      </c>
      <c r="K51" s="1134"/>
      <c r="L51" s="1130">
        <f aca="true" t="shared" si="6" ref="L51:L59">J51/E51</f>
        <v>0.8781974683544305</v>
      </c>
      <c r="M51" s="1132">
        <v>1731.6</v>
      </c>
      <c r="N51" s="1021"/>
      <c r="O51" s="1022"/>
    </row>
    <row r="52" spans="1:15" ht="12.75">
      <c r="A52" s="1107"/>
      <c r="B52" s="1111"/>
      <c r="C52" s="1121"/>
      <c r="D52" s="1122" t="s">
        <v>749</v>
      </c>
      <c r="E52" s="1123">
        <v>3000</v>
      </c>
      <c r="F52" s="1124"/>
      <c r="G52" s="1125">
        <f>F52/E52</f>
        <v>0</v>
      </c>
      <c r="H52" s="1126"/>
      <c r="I52" s="1133">
        <f>(H52+F52)/E52</f>
        <v>0</v>
      </c>
      <c r="J52" s="1128">
        <v>0</v>
      </c>
      <c r="K52" s="1134"/>
      <c r="L52" s="1130">
        <f t="shared" si="6"/>
        <v>0</v>
      </c>
      <c r="M52" s="1132"/>
      <c r="N52" s="1021"/>
      <c r="O52" s="1022"/>
    </row>
    <row r="53" spans="1:15" ht="24">
      <c r="A53" s="1107"/>
      <c r="B53" s="1111"/>
      <c r="C53" s="1121"/>
      <c r="D53" s="1122" t="s">
        <v>750</v>
      </c>
      <c r="E53" s="1123">
        <v>3200</v>
      </c>
      <c r="F53" s="1124"/>
      <c r="G53" s="1125"/>
      <c r="H53" s="1135"/>
      <c r="I53" s="1133">
        <f>(H53+F53)/E53</f>
        <v>0</v>
      </c>
      <c r="J53" s="1128">
        <v>3185.89</v>
      </c>
      <c r="K53" s="1134"/>
      <c r="L53" s="1130">
        <f t="shared" si="6"/>
        <v>0.995590625</v>
      </c>
      <c r="M53" s="1132"/>
      <c r="N53" s="1021"/>
      <c r="O53" s="1022"/>
    </row>
    <row r="54" spans="1:15" ht="12.75">
      <c r="A54" s="1107"/>
      <c r="B54" s="1111"/>
      <c r="C54" s="1121"/>
      <c r="D54" s="1136" t="s">
        <v>751</v>
      </c>
      <c r="E54" s="1137">
        <v>4150</v>
      </c>
      <c r="F54" s="1138"/>
      <c r="G54" s="1139"/>
      <c r="H54" s="1140"/>
      <c r="I54" s="1141">
        <f>(H54+F54)/E54</f>
        <v>0</v>
      </c>
      <c r="J54" s="1539">
        <v>3788.4</v>
      </c>
      <c r="K54" s="1110"/>
      <c r="L54" s="1142">
        <f t="shared" si="6"/>
        <v>0.9128674698795181</v>
      </c>
      <c r="M54" s="1540">
        <v>344.4</v>
      </c>
      <c r="N54" s="1021"/>
      <c r="O54" s="1022"/>
    </row>
    <row r="55" spans="1:15" ht="12.75">
      <c r="A55" s="1107"/>
      <c r="B55" s="1111"/>
      <c r="C55" s="1549" t="s">
        <v>597</v>
      </c>
      <c r="D55" s="1550"/>
      <c r="E55" s="1551">
        <v>500</v>
      </c>
      <c r="F55" s="1551"/>
      <c r="G55" s="1551"/>
      <c r="H55" s="1551"/>
      <c r="I55" s="1551">
        <f>(H55+F55)/E55</f>
        <v>0</v>
      </c>
      <c r="J55" s="1551">
        <v>0</v>
      </c>
      <c r="K55" s="1551"/>
      <c r="L55" s="1552">
        <f t="shared" si="6"/>
        <v>0</v>
      </c>
      <c r="M55" s="1551"/>
      <c r="N55" s="1021"/>
      <c r="O55" s="1022"/>
    </row>
    <row r="56" spans="1:16" ht="25.5">
      <c r="A56" s="1107"/>
      <c r="B56" s="1109"/>
      <c r="C56" s="1203">
        <v>4440</v>
      </c>
      <c r="D56" s="1541" t="s">
        <v>40</v>
      </c>
      <c r="E56" s="1542">
        <v>4302</v>
      </c>
      <c r="F56" s="1543"/>
      <c r="G56" s="1544">
        <f>F56/E56</f>
        <v>0</v>
      </c>
      <c r="H56" s="1545">
        <v>0</v>
      </c>
      <c r="I56" s="1546"/>
      <c r="J56" s="1547">
        <v>4198</v>
      </c>
      <c r="K56" s="1087"/>
      <c r="L56" s="1555">
        <f t="shared" si="6"/>
        <v>0.9758251975825197</v>
      </c>
      <c r="M56" s="1548"/>
      <c r="N56" s="1028"/>
      <c r="O56" s="1029"/>
      <c r="P56" s="1009"/>
    </row>
    <row r="57" spans="1:15" ht="38.25">
      <c r="A57" s="1107"/>
      <c r="B57" s="1111"/>
      <c r="C57" s="1217" t="s">
        <v>566</v>
      </c>
      <c r="D57" s="1218" t="s">
        <v>567</v>
      </c>
      <c r="E57" s="1167">
        <v>1000</v>
      </c>
      <c r="F57" s="1167">
        <v>500</v>
      </c>
      <c r="G57" s="1167">
        <v>500</v>
      </c>
      <c r="H57" s="1167">
        <v>500</v>
      </c>
      <c r="I57" s="1168">
        <v>500</v>
      </c>
      <c r="J57" s="1169">
        <v>500</v>
      </c>
      <c r="K57" s="1087"/>
      <c r="L57" s="1554">
        <f t="shared" si="6"/>
        <v>0.5</v>
      </c>
      <c r="M57" s="1219"/>
      <c r="N57" s="1021"/>
      <c r="O57" s="1025"/>
    </row>
    <row r="58" spans="1:16" ht="26.25" thickBot="1">
      <c r="A58" s="1107"/>
      <c r="B58" s="1109"/>
      <c r="C58" s="1220">
        <v>4700</v>
      </c>
      <c r="D58" s="1221" t="s">
        <v>23</v>
      </c>
      <c r="E58" s="1222">
        <v>2000</v>
      </c>
      <c r="F58" s="1216"/>
      <c r="G58" s="1199">
        <f>F58/E58</f>
        <v>0</v>
      </c>
      <c r="H58" s="1200">
        <v>0</v>
      </c>
      <c r="I58" s="1200"/>
      <c r="J58" s="1223">
        <v>1198</v>
      </c>
      <c r="K58" s="1087"/>
      <c r="L58" s="1553">
        <f t="shared" si="6"/>
        <v>0.599</v>
      </c>
      <c r="M58" s="1224"/>
      <c r="N58" s="1028"/>
      <c r="O58" s="1029"/>
      <c r="P58" s="1009"/>
    </row>
    <row r="59" spans="1:15" ht="25.5" customHeight="1" thickBot="1">
      <c r="A59" s="1143"/>
      <c r="B59" s="1144"/>
      <c r="C59" s="1144"/>
      <c r="D59" s="1145" t="s">
        <v>226</v>
      </c>
      <c r="E59" s="1073">
        <f>(E17)+0.01</f>
        <v>3858043.76</v>
      </c>
      <c r="F59" s="1073" t="e">
        <f>(F17)+0.01</f>
        <v>#REF!</v>
      </c>
      <c r="G59" s="1073" t="e">
        <f>(G17)+0.01</f>
        <v>#REF!</v>
      </c>
      <c r="H59" s="1073" t="e">
        <f>(H17)+0.01</f>
        <v>#REF!</v>
      </c>
      <c r="I59" s="1074" t="e">
        <f>(I17)+0.01</f>
        <v>#REF!</v>
      </c>
      <c r="J59" s="1075">
        <f>(J17)</f>
        <v>3638996.4</v>
      </c>
      <c r="K59" s="1146"/>
      <c r="L59" s="1147">
        <f t="shared" si="6"/>
        <v>0.9432232049125332</v>
      </c>
      <c r="M59" s="1148">
        <f>M17</f>
        <v>224244.93</v>
      </c>
      <c r="N59" s="1021"/>
      <c r="O59" s="1011"/>
    </row>
    <row r="60" spans="1:13" ht="32.25" customHeight="1">
      <c r="A60" s="1933" t="s">
        <v>781</v>
      </c>
      <c r="B60" s="1933"/>
      <c r="C60" s="1933"/>
      <c r="D60" s="1933"/>
      <c r="E60" s="1933"/>
      <c r="F60" s="1933"/>
      <c r="G60" s="1933"/>
      <c r="H60" s="1933"/>
      <c r="I60" s="1933"/>
      <c r="J60" s="1933"/>
      <c r="K60" s="1933"/>
      <c r="L60" s="1933"/>
      <c r="M60" s="1933"/>
    </row>
    <row r="61" spans="1:13" ht="12.75">
      <c r="A61" s="1149" t="s">
        <v>760</v>
      </c>
      <c r="B61" s="1149"/>
      <c r="C61" s="1149"/>
      <c r="D61" s="1149"/>
      <c r="E61" s="1150"/>
      <c r="F61" s="1150"/>
      <c r="G61" s="1150"/>
      <c r="H61" s="1087"/>
      <c r="I61" s="1087"/>
      <c r="J61" s="1087"/>
      <c r="K61" s="1087"/>
      <c r="L61" s="1087"/>
      <c r="M61" s="1087"/>
    </row>
    <row r="62" spans="1:13" ht="12.75">
      <c r="A62" s="1150" t="s">
        <v>761</v>
      </c>
      <c r="B62" s="1150"/>
      <c r="C62" s="1151"/>
      <c r="D62" s="1152">
        <v>192470.56</v>
      </c>
      <c r="E62" s="1150"/>
      <c r="F62" s="1150"/>
      <c r="G62" s="1150"/>
      <c r="H62" s="1087"/>
      <c r="I62" s="1087"/>
      <c r="J62" s="1087"/>
      <c r="K62" s="1087"/>
      <c r="L62" s="1087"/>
      <c r="M62" s="1087"/>
    </row>
    <row r="63" spans="1:13" ht="12.75">
      <c r="A63" s="1150" t="s">
        <v>762</v>
      </c>
      <c r="B63" s="1150"/>
      <c r="C63" s="1151"/>
      <c r="D63" s="1152">
        <v>137553.07</v>
      </c>
      <c r="E63" s="1150"/>
      <c r="F63" s="1150"/>
      <c r="G63" s="1150"/>
      <c r="H63" s="1087"/>
      <c r="I63" s="1087"/>
      <c r="J63" s="1087"/>
      <c r="K63" s="1087"/>
      <c r="L63" s="1087"/>
      <c r="M63" s="1087"/>
    </row>
    <row r="64" spans="1:13" s="1010" customFormat="1" ht="30.75" customHeight="1">
      <c r="A64" s="1929" t="s">
        <v>774</v>
      </c>
      <c r="B64" s="1929"/>
      <c r="C64" s="1153" t="s">
        <v>777</v>
      </c>
      <c r="D64" s="1154">
        <v>105831.27</v>
      </c>
      <c r="E64" s="1155"/>
      <c r="F64" s="1156"/>
      <c r="G64" s="1157"/>
      <c r="H64" s="1158"/>
      <c r="I64" s="1158"/>
      <c r="J64" s="1158"/>
      <c r="K64" s="1158"/>
      <c r="L64" s="1158"/>
      <c r="M64" s="1158"/>
    </row>
    <row r="65" spans="1:13" ht="12.75">
      <c r="A65" s="1938" t="s">
        <v>776</v>
      </c>
      <c r="B65" s="1938"/>
      <c r="C65" s="1151" t="s">
        <v>778</v>
      </c>
      <c r="D65" s="1152">
        <v>-60366.85</v>
      </c>
      <c r="E65" s="1150"/>
      <c r="F65" s="1150"/>
      <c r="G65" s="1150"/>
      <c r="H65" s="1087"/>
      <c r="I65" s="1087"/>
      <c r="J65" s="1087"/>
      <c r="K65" s="1087"/>
      <c r="L65" s="1087"/>
      <c r="M65" s="1087"/>
    </row>
    <row r="66" spans="1:13" s="1012" customFormat="1" ht="17.25" customHeight="1">
      <c r="A66" s="1927" t="s">
        <v>775</v>
      </c>
      <c r="B66" s="1927"/>
      <c r="C66" s="1159" t="s">
        <v>777</v>
      </c>
      <c r="D66" s="1160">
        <v>73503.76</v>
      </c>
      <c r="E66" s="1159"/>
      <c r="F66" s="1159"/>
      <c r="G66" s="1159"/>
      <c r="H66" s="1159"/>
      <c r="I66" s="1159"/>
      <c r="J66" s="1159"/>
      <c r="K66" s="1159"/>
      <c r="L66" s="1159"/>
      <c r="M66" s="1159"/>
    </row>
    <row r="67" spans="1:13" s="1012" customFormat="1" ht="15.75" customHeight="1">
      <c r="A67" s="1931" t="s">
        <v>780</v>
      </c>
      <c r="B67" s="1931"/>
      <c r="C67" s="1159" t="s">
        <v>779</v>
      </c>
      <c r="D67" s="1160">
        <f>J14-J59</f>
        <v>-303832.58999999985</v>
      </c>
      <c r="E67" s="1159"/>
      <c r="F67" s="1159"/>
      <c r="G67" s="1159"/>
      <c r="H67" s="1159"/>
      <c r="I67" s="1159"/>
      <c r="J67" s="1159"/>
      <c r="K67" s="1159"/>
      <c r="L67" s="1159"/>
      <c r="M67" s="1159"/>
    </row>
    <row r="68" spans="1:13" s="1012" customFormat="1" ht="15.75" customHeight="1">
      <c r="A68" s="1931" t="s">
        <v>949</v>
      </c>
      <c r="B68" s="1932"/>
      <c r="C68" s="1159"/>
      <c r="D68" s="1160"/>
      <c r="E68" s="1159"/>
      <c r="F68" s="1159"/>
      <c r="G68" s="1159"/>
      <c r="H68" s="1159"/>
      <c r="I68" s="1159"/>
      <c r="J68" s="1159"/>
      <c r="K68" s="1159"/>
      <c r="L68" s="1159"/>
      <c r="M68" s="1159"/>
    </row>
    <row r="69" spans="1:13" ht="23.25" customHeight="1">
      <c r="A69" s="1928" t="s">
        <v>782</v>
      </c>
      <c r="B69" s="1928"/>
      <c r="C69" s="1928"/>
      <c r="D69" s="1161">
        <f>D62+D63+D64+D65+D66+D67</f>
        <v>145159.2200000002</v>
      </c>
      <c r="E69" s="1087"/>
      <c r="F69" s="1087"/>
      <c r="G69" s="1087"/>
      <c r="H69" s="1087"/>
      <c r="I69" s="1087"/>
      <c r="J69" s="1087"/>
      <c r="K69" s="1087"/>
      <c r="L69" s="1087"/>
      <c r="M69" s="1087"/>
    </row>
    <row r="70" spans="1:13" ht="12.75">
      <c r="A70" s="1087"/>
      <c r="B70" s="1087"/>
      <c r="C70" s="1087"/>
      <c r="D70" s="1162"/>
      <c r="E70" s="1087"/>
      <c r="F70" s="1087"/>
      <c r="G70" s="1087"/>
      <c r="H70" s="1087"/>
      <c r="I70" s="1087"/>
      <c r="J70" s="1087"/>
      <c r="K70" s="1087"/>
      <c r="L70" s="1087"/>
      <c r="M70" s="1087"/>
    </row>
    <row r="71" spans="1:13" ht="18.75" customHeight="1">
      <c r="A71" s="1934" t="s">
        <v>788</v>
      </c>
      <c r="B71" s="1934"/>
      <c r="C71" s="1934"/>
      <c r="D71" s="1934"/>
      <c r="E71" s="1087"/>
      <c r="F71" s="1087"/>
      <c r="G71" s="1087"/>
      <c r="H71" s="1087"/>
      <c r="I71" s="1087"/>
      <c r="J71" s="1087"/>
      <c r="K71" s="1087"/>
      <c r="L71" s="1087"/>
      <c r="M71" s="1087"/>
    </row>
    <row r="72" spans="1:13" ht="15" customHeight="1">
      <c r="A72" s="1930" t="s">
        <v>783</v>
      </c>
      <c r="B72" s="1930"/>
      <c r="C72" s="1930"/>
      <c r="D72" s="1930"/>
      <c r="E72" s="1163"/>
      <c r="F72" s="1087"/>
      <c r="G72" s="1087"/>
      <c r="H72" s="1087"/>
      <c r="I72" s="1087"/>
      <c r="J72" s="1164"/>
      <c r="K72" s="1087"/>
      <c r="L72" s="1087"/>
      <c r="M72" s="1087"/>
    </row>
    <row r="73" spans="1:13" ht="15" customHeight="1">
      <c r="A73" s="1930" t="s">
        <v>784</v>
      </c>
      <c r="B73" s="1930"/>
      <c r="C73" s="1930"/>
      <c r="D73" s="1930"/>
      <c r="E73" s="1163"/>
      <c r="F73" s="1087"/>
      <c r="G73" s="1087"/>
      <c r="H73" s="1087"/>
      <c r="I73" s="1087"/>
      <c r="J73" s="1164"/>
      <c r="K73" s="1087"/>
      <c r="L73" s="1087"/>
      <c r="M73" s="1087"/>
    </row>
    <row r="74" spans="1:13" ht="18.75" customHeight="1">
      <c r="A74" s="1927" t="s">
        <v>785</v>
      </c>
      <c r="B74" s="1927"/>
      <c r="C74" s="1927"/>
      <c r="D74" s="1927"/>
      <c r="E74" s="1163"/>
      <c r="F74" s="1087"/>
      <c r="G74" s="1087"/>
      <c r="H74" s="1087"/>
      <c r="I74" s="1087"/>
      <c r="J74" s="1164"/>
      <c r="K74" s="1087"/>
      <c r="L74" s="1087"/>
      <c r="M74" s="1087"/>
    </row>
    <row r="75" spans="1:13" ht="27" customHeight="1">
      <c r="A75" s="1927" t="s">
        <v>786</v>
      </c>
      <c r="B75" s="1927"/>
      <c r="C75" s="1927"/>
      <c r="D75" s="1927"/>
      <c r="E75" s="1163"/>
      <c r="F75" s="1087"/>
      <c r="G75" s="1087"/>
      <c r="H75" s="1087"/>
      <c r="I75" s="1087"/>
      <c r="J75" s="1164"/>
      <c r="K75" s="1087"/>
      <c r="L75" s="1087"/>
      <c r="M75" s="1087"/>
    </row>
    <row r="76" spans="1:13" ht="12.75">
      <c r="A76" s="1087"/>
      <c r="B76" s="1087"/>
      <c r="C76" s="1087"/>
      <c r="D76" s="1087"/>
      <c r="E76" s="1087"/>
      <c r="F76" s="1087"/>
      <c r="G76" s="1087"/>
      <c r="H76" s="1087"/>
      <c r="I76" s="1087"/>
      <c r="J76" s="1165"/>
      <c r="K76" s="1087"/>
      <c r="L76" s="1087"/>
      <c r="M76" s="1087"/>
    </row>
    <row r="186" ht="12.75">
      <c r="E186" s="1009"/>
    </row>
  </sheetData>
  <sheetProtection/>
  <mergeCells count="33">
    <mergeCell ref="A60:M60"/>
    <mergeCell ref="B7:B8"/>
    <mergeCell ref="C7:C8"/>
    <mergeCell ref="A71:D71"/>
    <mergeCell ref="A72:D72"/>
    <mergeCell ref="E49:E50"/>
    <mergeCell ref="A67:B67"/>
    <mergeCell ref="C31:C35"/>
    <mergeCell ref="C38:C42"/>
    <mergeCell ref="A65:B65"/>
    <mergeCell ref="A66:B66"/>
    <mergeCell ref="A69:C69"/>
    <mergeCell ref="A64:B64"/>
    <mergeCell ref="A73:D73"/>
    <mergeCell ref="A74:D74"/>
    <mergeCell ref="A75:D75"/>
    <mergeCell ref="A68:B68"/>
    <mergeCell ref="O7:O8"/>
    <mergeCell ref="D7:D8"/>
    <mergeCell ref="E7:E8"/>
    <mergeCell ref="J7:J8"/>
    <mergeCell ref="L7:L8"/>
    <mergeCell ref="L49:L50"/>
    <mergeCell ref="C25:C29"/>
    <mergeCell ref="D1:H1"/>
    <mergeCell ref="A4:M4"/>
    <mergeCell ref="A6:D6"/>
    <mergeCell ref="A15:D15"/>
    <mergeCell ref="F15:H15"/>
    <mergeCell ref="C19:C23"/>
    <mergeCell ref="M7:M8"/>
    <mergeCell ref="A7:A8"/>
    <mergeCell ref="J2:O2"/>
  </mergeCells>
  <printOptions/>
  <pageMargins left="0.7874015748031497" right="0" top="0.5905511811023623" bottom="0.3937007874015748" header="0.11811023622047245" footer="0.11811023622047245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1"/>
  <sheetViews>
    <sheetView showGridLines="0" zoomScalePageLayoutView="0" workbookViewId="0" topLeftCell="A1">
      <selection activeCell="A366" sqref="A366:IV366"/>
    </sheetView>
  </sheetViews>
  <sheetFormatPr defaultColWidth="0.9921875" defaultRowHeight="15"/>
  <cols>
    <col min="1" max="1" width="5.28125" style="931" customWidth="1"/>
    <col min="2" max="2" width="8.140625" style="931" customWidth="1"/>
    <col min="3" max="3" width="8.421875" style="931" customWidth="1"/>
    <col min="4" max="4" width="29.28125" style="931" customWidth="1"/>
    <col min="5" max="5" width="13.140625" style="931" customWidth="1"/>
    <col min="6" max="6" width="11.00390625" style="931" customWidth="1"/>
    <col min="7" max="7" width="12.57421875" style="931" customWidth="1"/>
    <col min="8" max="8" width="12.421875" style="931" customWidth="1"/>
    <col min="9" max="9" width="11.7109375" style="931" customWidth="1"/>
    <col min="10" max="10" width="8.7109375" style="931" customWidth="1"/>
    <col min="11" max="11" width="12.7109375" style="931" customWidth="1"/>
    <col min="12" max="12" width="10.421875" style="931" customWidth="1"/>
    <col min="13" max="250" width="9.140625" style="931" customWidth="1"/>
    <col min="251" max="251" width="2.140625" style="931" customWidth="1"/>
    <col min="252" max="252" width="8.7109375" style="931" customWidth="1"/>
    <col min="253" max="253" width="9.8515625" style="931" customWidth="1"/>
    <col min="254" max="254" width="0.9921875" style="931" customWidth="1"/>
    <col min="255" max="255" width="10.8515625" style="931" customWidth="1"/>
    <col min="256" max="16384" width="0.9921875" style="931" customWidth="1"/>
  </cols>
  <sheetData>
    <row r="2" ht="12.75">
      <c r="H2" s="943" t="s">
        <v>722</v>
      </c>
    </row>
    <row r="4" spans="1:11" ht="15" customHeight="1">
      <c r="A4" s="1685" t="s">
        <v>723</v>
      </c>
      <c r="B4" s="1685"/>
      <c r="C4" s="1685"/>
      <c r="D4" s="1685"/>
      <c r="E4" s="1685"/>
      <c r="F4" s="1685"/>
      <c r="G4" s="1685"/>
      <c r="H4" s="1685"/>
      <c r="I4" s="1685"/>
      <c r="J4" s="1685"/>
      <c r="K4" s="1685"/>
    </row>
    <row r="5" spans="1:11" ht="14.25" customHeight="1">
      <c r="A5" s="1684" t="s">
        <v>841</v>
      </c>
      <c r="B5" s="1685"/>
      <c r="C5" s="1685"/>
      <c r="D5" s="1685"/>
      <c r="E5" s="1685"/>
      <c r="F5" s="1685"/>
      <c r="G5" s="1685"/>
      <c r="H5" s="1685"/>
      <c r="I5" s="1685"/>
      <c r="J5" s="1685"/>
      <c r="K5" s="1685"/>
    </row>
    <row r="6" spans="1:11" ht="14.25" customHeight="1">
      <c r="A6" s="944"/>
      <c r="B6" s="944"/>
      <c r="C6" s="944"/>
      <c r="D6" s="944"/>
      <c r="E6" s="944"/>
      <c r="F6" s="944"/>
      <c r="G6" s="944"/>
      <c r="H6" s="944"/>
      <c r="I6" s="944"/>
      <c r="J6" s="944"/>
      <c r="K6" s="944"/>
    </row>
    <row r="7" spans="1:12" ht="34.5" customHeight="1">
      <c r="A7" s="1686" t="s">
        <v>0</v>
      </c>
      <c r="B7" s="1686" t="s">
        <v>1</v>
      </c>
      <c r="C7" s="1686" t="s">
        <v>112</v>
      </c>
      <c r="D7" s="1728" t="s">
        <v>229</v>
      </c>
      <c r="E7" s="1694" t="s">
        <v>893</v>
      </c>
      <c r="F7" s="1716" t="s">
        <v>720</v>
      </c>
      <c r="G7" s="1696" t="s">
        <v>864</v>
      </c>
      <c r="H7" s="1688" t="s">
        <v>865</v>
      </c>
      <c r="I7" s="939" t="s">
        <v>92</v>
      </c>
      <c r="J7" s="1693" t="s">
        <v>85</v>
      </c>
      <c r="K7" s="1690" t="s">
        <v>721</v>
      </c>
      <c r="L7" s="1691" t="s">
        <v>724</v>
      </c>
    </row>
    <row r="8" spans="1:12" ht="56.25" customHeight="1">
      <c r="A8" s="1686"/>
      <c r="B8" s="1686"/>
      <c r="C8" s="1686"/>
      <c r="D8" s="1728"/>
      <c r="E8" s="1695"/>
      <c r="F8" s="1716"/>
      <c r="G8" s="1697"/>
      <c r="H8" s="1689"/>
      <c r="I8" s="969" t="s">
        <v>866</v>
      </c>
      <c r="J8" s="1693"/>
      <c r="K8" s="1690"/>
      <c r="L8" s="1692"/>
    </row>
    <row r="9" spans="1:13" ht="12.75">
      <c r="A9" s="960" t="s">
        <v>7</v>
      </c>
      <c r="B9" s="960"/>
      <c r="C9" s="960"/>
      <c r="D9" s="961" t="s">
        <v>8</v>
      </c>
      <c r="E9" s="962">
        <f>E10+E14+E16+E12</f>
        <v>41000</v>
      </c>
      <c r="F9" s="962">
        <f>F10+F14+F16+F12</f>
        <v>1522247.63</v>
      </c>
      <c r="G9" s="962">
        <f>G10+G14+G16+G12</f>
        <v>1563247.63</v>
      </c>
      <c r="H9" s="962">
        <f>H10+H14+H16+H12</f>
        <v>1557475.7799999998</v>
      </c>
      <c r="I9" s="962">
        <f>I10+I14+I16+I12</f>
        <v>0</v>
      </c>
      <c r="J9" s="964">
        <f>H9/G9</f>
        <v>0.996307782663966</v>
      </c>
      <c r="K9" s="963">
        <f>K10+K14+K16</f>
        <v>634</v>
      </c>
      <c r="L9" s="1438">
        <f>L10+L14+L16</f>
        <v>11163.67</v>
      </c>
      <c r="M9" s="940"/>
    </row>
    <row r="10" spans="1:13" ht="15">
      <c r="A10" s="932"/>
      <c r="B10" s="938" t="s">
        <v>262</v>
      </c>
      <c r="C10" s="933"/>
      <c r="D10" s="945" t="s">
        <v>263</v>
      </c>
      <c r="E10" s="950">
        <f>E11</f>
        <v>20000</v>
      </c>
      <c r="F10" s="950">
        <f>F11</f>
        <v>0</v>
      </c>
      <c r="G10" s="950" t="str">
        <f>G11</f>
        <v>20 000,00</v>
      </c>
      <c r="H10" s="950">
        <f>H11</f>
        <v>20000</v>
      </c>
      <c r="I10" s="950">
        <f>I11</f>
        <v>0</v>
      </c>
      <c r="J10" s="959">
        <f>H10/G10</f>
        <v>1</v>
      </c>
      <c r="K10" s="954">
        <f>K11</f>
        <v>0</v>
      </c>
      <c r="L10" s="1439">
        <f>L11</f>
        <v>0</v>
      </c>
      <c r="M10" s="940"/>
    </row>
    <row r="11" spans="1:13" ht="56.25">
      <c r="A11" s="935"/>
      <c r="B11" s="935"/>
      <c r="C11" s="936" t="s">
        <v>536</v>
      </c>
      <c r="D11" s="946" t="s">
        <v>537</v>
      </c>
      <c r="E11" s="951">
        <v>20000</v>
      </c>
      <c r="F11" s="955">
        <f>G11-E11</f>
        <v>0</v>
      </c>
      <c r="G11" s="949" t="s">
        <v>366</v>
      </c>
      <c r="H11" s="958">
        <v>20000</v>
      </c>
      <c r="I11" s="941">
        <v>0</v>
      </c>
      <c r="J11" s="1250">
        <f aca="true" t="shared" si="0" ref="J11:J79">H11/G11</f>
        <v>1</v>
      </c>
      <c r="K11" s="941">
        <v>0</v>
      </c>
      <c r="L11" s="941">
        <v>0</v>
      </c>
      <c r="M11" s="940"/>
    </row>
    <row r="12" spans="1:13" ht="22.5">
      <c r="A12" s="935"/>
      <c r="B12" s="992" t="s">
        <v>867</v>
      </c>
      <c r="C12" s="1525"/>
      <c r="D12" s="1486" t="s">
        <v>868</v>
      </c>
      <c r="E12" s="1526">
        <f>E13</f>
        <v>0</v>
      </c>
      <c r="F12" s="1519">
        <f aca="true" t="shared" si="1" ref="F12:L12">F13</f>
        <v>500000</v>
      </c>
      <c r="G12" s="1519">
        <f t="shared" si="1"/>
        <v>500000</v>
      </c>
      <c r="H12" s="1519">
        <f t="shared" si="1"/>
        <v>500000</v>
      </c>
      <c r="I12" s="1526">
        <f t="shared" si="1"/>
        <v>0</v>
      </c>
      <c r="J12" s="1527">
        <f>J13</f>
        <v>1</v>
      </c>
      <c r="K12" s="1526">
        <f t="shared" si="1"/>
        <v>0</v>
      </c>
      <c r="L12" s="1526">
        <f t="shared" si="1"/>
        <v>0</v>
      </c>
      <c r="M12" s="940"/>
    </row>
    <row r="13" spans="1:13" ht="22.5">
      <c r="A13" s="935"/>
      <c r="B13" s="935"/>
      <c r="C13" s="984" t="s">
        <v>869</v>
      </c>
      <c r="D13" s="1266" t="s">
        <v>870</v>
      </c>
      <c r="E13" s="951">
        <v>0</v>
      </c>
      <c r="F13" s="955">
        <f>G13-E13</f>
        <v>500000</v>
      </c>
      <c r="G13" s="949">
        <v>500000</v>
      </c>
      <c r="H13" s="942">
        <v>500000</v>
      </c>
      <c r="I13" s="941">
        <v>0</v>
      </c>
      <c r="J13" s="1250">
        <f>H13/G13</f>
        <v>1</v>
      </c>
      <c r="K13" s="941">
        <v>0</v>
      </c>
      <c r="L13" s="1309">
        <v>0</v>
      </c>
      <c r="M13" s="940"/>
    </row>
    <row r="14" spans="1:13" ht="15">
      <c r="A14" s="932"/>
      <c r="B14" s="938" t="s">
        <v>538</v>
      </c>
      <c r="C14" s="933"/>
      <c r="D14" s="945" t="s">
        <v>539</v>
      </c>
      <c r="E14" s="950">
        <f>E15</f>
        <v>17000</v>
      </c>
      <c r="F14" s="954">
        <f aca="true" t="shared" si="2" ref="F14:L14">F15</f>
        <v>0</v>
      </c>
      <c r="G14" s="953" t="str">
        <f t="shared" si="2"/>
        <v>17 000,00</v>
      </c>
      <c r="H14" s="957">
        <f t="shared" si="2"/>
        <v>13858</v>
      </c>
      <c r="I14" s="954">
        <f t="shared" si="2"/>
        <v>0</v>
      </c>
      <c r="J14" s="959">
        <f t="shared" si="0"/>
        <v>0.8151764705882353</v>
      </c>
      <c r="K14" s="954">
        <f t="shared" si="2"/>
        <v>634</v>
      </c>
      <c r="L14" s="1439">
        <f t="shared" si="2"/>
        <v>0</v>
      </c>
      <c r="M14" s="940"/>
    </row>
    <row r="15" spans="1:13" ht="33.75">
      <c r="A15" s="935"/>
      <c r="B15" s="935"/>
      <c r="C15" s="936" t="s">
        <v>541</v>
      </c>
      <c r="D15" s="946" t="s">
        <v>542</v>
      </c>
      <c r="E15" s="951">
        <v>17000</v>
      </c>
      <c r="F15" s="955">
        <f>G15-E15</f>
        <v>0</v>
      </c>
      <c r="G15" s="949" t="s">
        <v>540</v>
      </c>
      <c r="H15" s="958">
        <v>13858</v>
      </c>
      <c r="I15" s="941">
        <v>0</v>
      </c>
      <c r="J15" s="1250">
        <f t="shared" si="0"/>
        <v>0.8151764705882353</v>
      </c>
      <c r="K15" s="941">
        <v>634</v>
      </c>
      <c r="L15" s="941">
        <v>0</v>
      </c>
      <c r="M15" s="940"/>
    </row>
    <row r="16" spans="1:13" ht="15">
      <c r="A16" s="932"/>
      <c r="B16" s="938" t="s">
        <v>9</v>
      </c>
      <c r="C16" s="933"/>
      <c r="D16" s="945" t="s">
        <v>10</v>
      </c>
      <c r="E16" s="950">
        <f>E17+E18+E19+E20+E21+E22+E23+E24</f>
        <v>4000</v>
      </c>
      <c r="F16" s="950">
        <f>F17+F18+F19+F20+F21+F22+F23+F24</f>
        <v>1022247.6299999999</v>
      </c>
      <c r="G16" s="950">
        <f>G17+G18+G19+G20+G21+G22+G23+G24</f>
        <v>1026247.6299999999</v>
      </c>
      <c r="H16" s="950">
        <f>H17+H18+H19+H20+H21+H22+H23+H24</f>
        <v>1023617.7799999999</v>
      </c>
      <c r="I16" s="950">
        <f>I17+I18+I19+I20+I21+I22+I23+I24</f>
        <v>0</v>
      </c>
      <c r="J16" s="959">
        <f t="shared" si="0"/>
        <v>0.9974374118652045</v>
      </c>
      <c r="K16" s="954">
        <f>K17+K18+K19+K20+K21+K22+K23+K24</f>
        <v>0</v>
      </c>
      <c r="L16" s="954">
        <f>L17+L18+L19+L20+L21+L22+L23+L24</f>
        <v>11163.67</v>
      </c>
      <c r="M16" s="940"/>
    </row>
    <row r="17" spans="1:13" ht="22.5">
      <c r="A17" s="935"/>
      <c r="B17" s="935"/>
      <c r="C17" s="936" t="s">
        <v>543</v>
      </c>
      <c r="D17" s="946" t="s">
        <v>12</v>
      </c>
      <c r="E17" s="951">
        <v>0</v>
      </c>
      <c r="F17" s="955">
        <f>G17-E17</f>
        <v>10347.1</v>
      </c>
      <c r="G17" s="949">
        <v>10347.1</v>
      </c>
      <c r="H17" s="958">
        <v>10347.1</v>
      </c>
      <c r="I17" s="941">
        <v>0</v>
      </c>
      <c r="J17" s="1250">
        <f t="shared" si="0"/>
        <v>1</v>
      </c>
      <c r="K17" s="941">
        <v>0</v>
      </c>
      <c r="L17" s="941">
        <v>0</v>
      </c>
      <c r="M17" s="940"/>
    </row>
    <row r="18" spans="1:13" ht="12.75">
      <c r="A18" s="935"/>
      <c r="B18" s="935"/>
      <c r="C18" s="936" t="s">
        <v>333</v>
      </c>
      <c r="D18" s="946" t="s">
        <v>13</v>
      </c>
      <c r="E18" s="951">
        <v>0</v>
      </c>
      <c r="F18" s="955">
        <f aca="true" t="shared" si="3" ref="F18:F24">G18-E18</f>
        <v>1769.35</v>
      </c>
      <c r="G18" s="949">
        <v>1769.35</v>
      </c>
      <c r="H18" s="958">
        <v>1769.35</v>
      </c>
      <c r="I18" s="941">
        <v>0</v>
      </c>
      <c r="J18" s="1250">
        <f t="shared" si="0"/>
        <v>1</v>
      </c>
      <c r="K18" s="941">
        <v>0</v>
      </c>
      <c r="L18" s="941">
        <v>0</v>
      </c>
      <c r="M18" s="940"/>
    </row>
    <row r="19" spans="1:13" ht="33.75">
      <c r="A19" s="935"/>
      <c r="B19" s="935"/>
      <c r="C19" s="936" t="s">
        <v>334</v>
      </c>
      <c r="D19" s="1266" t="s">
        <v>875</v>
      </c>
      <c r="E19" s="951">
        <v>0</v>
      </c>
      <c r="F19" s="955">
        <f t="shared" si="3"/>
        <v>253.43</v>
      </c>
      <c r="G19" s="949">
        <v>253.43</v>
      </c>
      <c r="H19" s="958">
        <v>253.43</v>
      </c>
      <c r="I19" s="941">
        <v>0</v>
      </c>
      <c r="J19" s="1250">
        <f t="shared" si="0"/>
        <v>1</v>
      </c>
      <c r="K19" s="941">
        <v>0</v>
      </c>
      <c r="L19" s="941">
        <v>0</v>
      </c>
      <c r="M19" s="940"/>
    </row>
    <row r="20" spans="1:13" ht="12.75">
      <c r="A20" s="935"/>
      <c r="B20" s="935"/>
      <c r="C20" s="936" t="s">
        <v>331</v>
      </c>
      <c r="D20" s="946" t="s">
        <v>28</v>
      </c>
      <c r="E20" s="951">
        <v>0</v>
      </c>
      <c r="F20" s="955">
        <f t="shared" si="3"/>
        <v>0</v>
      </c>
      <c r="G20" s="949">
        <v>0</v>
      </c>
      <c r="H20" s="958">
        <v>0</v>
      </c>
      <c r="I20" s="941">
        <v>0</v>
      </c>
      <c r="J20" s="1250">
        <v>0</v>
      </c>
      <c r="K20" s="941">
        <v>0</v>
      </c>
      <c r="L20" s="941">
        <v>0</v>
      </c>
      <c r="M20" s="940"/>
    </row>
    <row r="21" spans="1:13" ht="12.75">
      <c r="A21" s="935"/>
      <c r="B21" s="935"/>
      <c r="C21" s="936" t="s">
        <v>324</v>
      </c>
      <c r="D21" s="946" t="s">
        <v>15</v>
      </c>
      <c r="E21" s="951">
        <v>0</v>
      </c>
      <c r="F21" s="955">
        <f t="shared" si="3"/>
        <v>13388.84</v>
      </c>
      <c r="G21" s="949">
        <v>13388.84</v>
      </c>
      <c r="H21" s="958">
        <v>13058.3</v>
      </c>
      <c r="I21" s="941">
        <v>0</v>
      </c>
      <c r="J21" s="1250">
        <f t="shared" si="0"/>
        <v>0.9753122749991784</v>
      </c>
      <c r="K21" s="941">
        <v>0</v>
      </c>
      <c r="L21" s="941">
        <v>0</v>
      </c>
      <c r="M21" s="940"/>
    </row>
    <row r="22" spans="1:13" ht="12.75">
      <c r="A22" s="935"/>
      <c r="B22" s="935"/>
      <c r="C22" s="936" t="s">
        <v>325</v>
      </c>
      <c r="D22" s="946" t="s">
        <v>16</v>
      </c>
      <c r="E22" s="951">
        <v>4000</v>
      </c>
      <c r="F22" s="955">
        <f t="shared" si="3"/>
        <v>19207.72</v>
      </c>
      <c r="G22" s="949">
        <v>23207.72</v>
      </c>
      <c r="H22" s="958">
        <v>21692.77</v>
      </c>
      <c r="I22" s="941">
        <v>0</v>
      </c>
      <c r="J22" s="1250">
        <f t="shared" si="0"/>
        <v>0.9347221528008783</v>
      </c>
      <c r="K22" s="941">
        <v>0</v>
      </c>
      <c r="L22" s="941">
        <v>8165.87</v>
      </c>
      <c r="M22" s="940"/>
    </row>
    <row r="23" spans="1:13" ht="12.75">
      <c r="A23" s="935"/>
      <c r="B23" s="935"/>
      <c r="C23" s="936" t="s">
        <v>544</v>
      </c>
      <c r="D23" s="946" t="s">
        <v>17</v>
      </c>
      <c r="E23" s="951">
        <v>0</v>
      </c>
      <c r="F23" s="955">
        <f t="shared" si="3"/>
        <v>964281.19</v>
      </c>
      <c r="G23" s="949">
        <v>964281.19</v>
      </c>
      <c r="H23" s="958">
        <v>964281.19</v>
      </c>
      <c r="I23" s="941">
        <v>0</v>
      </c>
      <c r="J23" s="1250">
        <f t="shared" si="0"/>
        <v>1</v>
      </c>
      <c r="K23" s="941">
        <v>0</v>
      </c>
      <c r="L23" s="941">
        <v>0</v>
      </c>
      <c r="M23" s="940"/>
    </row>
    <row r="24" spans="1:13" ht="22.5">
      <c r="A24" s="935"/>
      <c r="B24" s="935"/>
      <c r="C24" s="984" t="s">
        <v>127</v>
      </c>
      <c r="D24" s="946" t="s">
        <v>41</v>
      </c>
      <c r="E24" s="951">
        <v>0</v>
      </c>
      <c r="F24" s="955">
        <f t="shared" si="3"/>
        <v>13000</v>
      </c>
      <c r="G24" s="1528">
        <v>13000</v>
      </c>
      <c r="H24" s="942">
        <v>12215.64</v>
      </c>
      <c r="I24" s="941">
        <v>0</v>
      </c>
      <c r="J24" s="1250">
        <f t="shared" si="0"/>
        <v>0.9396646153846153</v>
      </c>
      <c r="K24" s="941">
        <v>0</v>
      </c>
      <c r="L24" s="1309">
        <v>2997.8</v>
      </c>
      <c r="M24" s="940"/>
    </row>
    <row r="25" spans="1:13" ht="12.75">
      <c r="A25" s="965" t="s">
        <v>375</v>
      </c>
      <c r="B25" s="965"/>
      <c r="C25" s="965"/>
      <c r="D25" s="966" t="s">
        <v>376</v>
      </c>
      <c r="E25" s="967">
        <f>E26</f>
        <v>25000</v>
      </c>
      <c r="F25" s="963">
        <f aca="true" t="shared" si="4" ref="F25:L25">F26</f>
        <v>-1198</v>
      </c>
      <c r="G25" s="968">
        <f t="shared" si="4"/>
        <v>23802</v>
      </c>
      <c r="H25" s="967">
        <f t="shared" si="4"/>
        <v>19152.49</v>
      </c>
      <c r="I25" s="963">
        <f t="shared" si="4"/>
        <v>0</v>
      </c>
      <c r="J25" s="964">
        <f t="shared" si="0"/>
        <v>0.8046588521972944</v>
      </c>
      <c r="K25" s="963">
        <f t="shared" si="4"/>
        <v>225.67000000000002</v>
      </c>
      <c r="L25" s="1440">
        <f t="shared" si="4"/>
        <v>0</v>
      </c>
      <c r="M25" s="940"/>
    </row>
    <row r="26" spans="1:13" ht="15">
      <c r="A26" s="932"/>
      <c r="B26" s="938" t="s">
        <v>378</v>
      </c>
      <c r="C26" s="933"/>
      <c r="D26" s="945" t="s">
        <v>10</v>
      </c>
      <c r="E26" s="950">
        <f>E27+E28+E29+E30+E31</f>
        <v>25000</v>
      </c>
      <c r="F26" s="954">
        <f aca="true" t="shared" si="5" ref="F26:L26">F27+F28+F29+F30+F31</f>
        <v>-1198</v>
      </c>
      <c r="G26" s="947">
        <f t="shared" si="5"/>
        <v>23802</v>
      </c>
      <c r="H26" s="950">
        <f t="shared" si="5"/>
        <v>19152.49</v>
      </c>
      <c r="I26" s="954">
        <f t="shared" si="5"/>
        <v>0</v>
      </c>
      <c r="J26" s="959">
        <f t="shared" si="0"/>
        <v>0.8046588521972944</v>
      </c>
      <c r="K26" s="954">
        <f t="shared" si="5"/>
        <v>225.67000000000002</v>
      </c>
      <c r="L26" s="1439">
        <f t="shared" si="5"/>
        <v>0</v>
      </c>
      <c r="M26" s="940"/>
    </row>
    <row r="27" spans="1:13" ht="12.75">
      <c r="A27" s="935"/>
      <c r="B27" s="935"/>
      <c r="C27" s="936" t="s">
        <v>333</v>
      </c>
      <c r="D27" s="946" t="s">
        <v>13</v>
      </c>
      <c r="E27" s="951">
        <v>774</v>
      </c>
      <c r="F27" s="955">
        <f>G27-E27</f>
        <v>0</v>
      </c>
      <c r="G27" s="949" t="s">
        <v>545</v>
      </c>
      <c r="H27" s="958">
        <v>342</v>
      </c>
      <c r="I27" s="941">
        <v>0</v>
      </c>
      <c r="J27" s="1250">
        <f t="shared" si="0"/>
        <v>0.4418604651162791</v>
      </c>
      <c r="K27" s="941">
        <v>74.84</v>
      </c>
      <c r="L27" s="941">
        <v>0</v>
      </c>
      <c r="M27" s="940"/>
    </row>
    <row r="28" spans="1:13" ht="12.75">
      <c r="A28" s="935"/>
      <c r="B28" s="935"/>
      <c r="C28" s="936" t="s">
        <v>331</v>
      </c>
      <c r="D28" s="946" t="s">
        <v>28</v>
      </c>
      <c r="E28" s="951">
        <v>4500</v>
      </c>
      <c r="F28" s="955">
        <f>G28-E28</f>
        <v>0</v>
      </c>
      <c r="G28" s="949">
        <v>4500</v>
      </c>
      <c r="H28" s="958">
        <v>2330.42</v>
      </c>
      <c r="I28" s="941">
        <v>0</v>
      </c>
      <c r="J28" s="1250">
        <f t="shared" si="0"/>
        <v>0.5178711111111112</v>
      </c>
      <c r="K28" s="941">
        <v>107.22</v>
      </c>
      <c r="L28" s="941">
        <v>0</v>
      </c>
      <c r="M28" s="940"/>
    </row>
    <row r="29" spans="1:13" ht="12.75">
      <c r="A29" s="935"/>
      <c r="B29" s="935"/>
      <c r="C29" s="936" t="s">
        <v>324</v>
      </c>
      <c r="D29" s="946" t="s">
        <v>15</v>
      </c>
      <c r="E29" s="951">
        <v>17246</v>
      </c>
      <c r="F29" s="955">
        <f>G29-E29</f>
        <v>-1198</v>
      </c>
      <c r="G29" s="949">
        <v>16048</v>
      </c>
      <c r="H29" s="958">
        <v>15751.73</v>
      </c>
      <c r="I29" s="941">
        <v>0</v>
      </c>
      <c r="J29" s="1250">
        <f t="shared" si="0"/>
        <v>0.9815385094715852</v>
      </c>
      <c r="K29" s="941">
        <v>0</v>
      </c>
      <c r="L29" s="941">
        <v>0</v>
      </c>
      <c r="M29" s="940"/>
    </row>
    <row r="30" spans="1:13" ht="12.75">
      <c r="A30" s="935"/>
      <c r="B30" s="935"/>
      <c r="C30" s="936" t="s">
        <v>546</v>
      </c>
      <c r="D30" s="946" t="s">
        <v>37</v>
      </c>
      <c r="E30" s="951">
        <v>2000</v>
      </c>
      <c r="F30" s="955">
        <f>G30-E30</f>
        <v>0</v>
      </c>
      <c r="G30" s="949" t="s">
        <v>394</v>
      </c>
      <c r="H30" s="958">
        <v>606.84</v>
      </c>
      <c r="I30" s="941">
        <v>0</v>
      </c>
      <c r="J30" s="1250">
        <f t="shared" si="0"/>
        <v>0.30342</v>
      </c>
      <c r="K30" s="941">
        <v>43.61</v>
      </c>
      <c r="L30" s="941">
        <v>0</v>
      </c>
      <c r="M30" s="940"/>
    </row>
    <row r="31" spans="1:13" ht="12.75">
      <c r="A31" s="935"/>
      <c r="B31" s="935"/>
      <c r="C31" s="936" t="s">
        <v>325</v>
      </c>
      <c r="D31" s="946" t="s">
        <v>16</v>
      </c>
      <c r="E31" s="951">
        <v>480</v>
      </c>
      <c r="F31" s="955">
        <f>G31-E31</f>
        <v>0</v>
      </c>
      <c r="G31" s="949" t="s">
        <v>547</v>
      </c>
      <c r="H31" s="958">
        <v>121.5</v>
      </c>
      <c r="I31" s="941">
        <v>0</v>
      </c>
      <c r="J31" s="1250">
        <f t="shared" si="0"/>
        <v>0.253125</v>
      </c>
      <c r="K31" s="941">
        <v>0</v>
      </c>
      <c r="L31" s="941">
        <v>0</v>
      </c>
      <c r="M31" s="940"/>
    </row>
    <row r="32" spans="1:13" ht="12.75">
      <c r="A32" s="965" t="s">
        <v>118</v>
      </c>
      <c r="B32" s="965"/>
      <c r="C32" s="965"/>
      <c r="D32" s="966" t="s">
        <v>278</v>
      </c>
      <c r="E32" s="967">
        <f>E33+E37+E39+E41</f>
        <v>2102049.67</v>
      </c>
      <c r="F32" s="963">
        <f aca="true" t="shared" si="6" ref="F32:L32">F33+F37+F39+F41</f>
        <v>3463160.25</v>
      </c>
      <c r="G32" s="968">
        <f t="shared" si="6"/>
        <v>5565209.919999999</v>
      </c>
      <c r="H32" s="967">
        <f t="shared" si="6"/>
        <v>2829321.2800000003</v>
      </c>
      <c r="I32" s="963">
        <f t="shared" si="6"/>
        <v>303244.76</v>
      </c>
      <c r="J32" s="964">
        <f t="shared" si="0"/>
        <v>0.508394350019415</v>
      </c>
      <c r="K32" s="963">
        <f t="shared" si="6"/>
        <v>39669.35</v>
      </c>
      <c r="L32" s="1440">
        <f t="shared" si="6"/>
        <v>68391.22</v>
      </c>
      <c r="M32" s="940"/>
    </row>
    <row r="33" spans="1:13" ht="15">
      <c r="A33" s="932"/>
      <c r="B33" s="938" t="s">
        <v>548</v>
      </c>
      <c r="C33" s="933"/>
      <c r="D33" s="945" t="s">
        <v>242</v>
      </c>
      <c r="E33" s="950">
        <f>E34+E35+E36</f>
        <v>420000</v>
      </c>
      <c r="F33" s="954">
        <f>F34+F35+F36</f>
        <v>27983.809999999998</v>
      </c>
      <c r="G33" s="947">
        <f>G34+G35+G36</f>
        <v>447983.81</v>
      </c>
      <c r="H33" s="950">
        <f>H34+H35+H36</f>
        <v>443949.75</v>
      </c>
      <c r="I33" s="954">
        <f>I34+I35+I36</f>
        <v>0</v>
      </c>
      <c r="J33" s="959">
        <f t="shared" si="0"/>
        <v>0.9909950763622463</v>
      </c>
      <c r="K33" s="954">
        <f>K34+K35+K36</f>
        <v>0</v>
      </c>
      <c r="L33" s="1439">
        <f>L34+L35+L36</f>
        <v>0</v>
      </c>
      <c r="M33" s="940"/>
    </row>
    <row r="34" spans="1:13" ht="45">
      <c r="A34" s="935"/>
      <c r="B34" s="935"/>
      <c r="C34" s="936" t="s">
        <v>481</v>
      </c>
      <c r="D34" s="946" t="s">
        <v>549</v>
      </c>
      <c r="E34" s="951">
        <v>300000</v>
      </c>
      <c r="F34" s="955">
        <f>G34-E34</f>
        <v>81983.81</v>
      </c>
      <c r="G34" s="949">
        <v>381983.81</v>
      </c>
      <c r="H34" s="958">
        <v>379407.16</v>
      </c>
      <c r="I34" s="941">
        <v>0</v>
      </c>
      <c r="J34" s="1250">
        <f t="shared" si="0"/>
        <v>0.9932545570452318</v>
      </c>
      <c r="K34" s="941">
        <v>0</v>
      </c>
      <c r="L34" s="941">
        <v>0</v>
      </c>
      <c r="M34" s="940"/>
    </row>
    <row r="35" spans="1:13" ht="45" hidden="1">
      <c r="A35" s="935"/>
      <c r="B35" s="935"/>
      <c r="C35" s="936" t="s">
        <v>550</v>
      </c>
      <c r="D35" s="946" t="s">
        <v>265</v>
      </c>
      <c r="E35" s="951">
        <v>0</v>
      </c>
      <c r="F35" s="955">
        <f>G35-E35</f>
        <v>0</v>
      </c>
      <c r="G35" s="949" t="s">
        <v>370</v>
      </c>
      <c r="H35" s="958">
        <v>0</v>
      </c>
      <c r="I35" s="941">
        <v>0</v>
      </c>
      <c r="J35" s="1250">
        <v>0</v>
      </c>
      <c r="K35" s="941">
        <v>0</v>
      </c>
      <c r="L35" s="941">
        <v>0</v>
      </c>
      <c r="M35" s="940"/>
    </row>
    <row r="36" spans="1:13" ht="12.75">
      <c r="A36" s="935"/>
      <c r="B36" s="935"/>
      <c r="C36" s="936" t="s">
        <v>325</v>
      </c>
      <c r="D36" s="946" t="s">
        <v>16</v>
      </c>
      <c r="E36" s="951">
        <v>120000</v>
      </c>
      <c r="F36" s="955">
        <f>G36-E36</f>
        <v>-54000</v>
      </c>
      <c r="G36" s="949">
        <v>66000</v>
      </c>
      <c r="H36" s="958">
        <v>64542.59</v>
      </c>
      <c r="I36" s="941">
        <v>0</v>
      </c>
      <c r="J36" s="1250">
        <f t="shared" si="0"/>
        <v>0.9779180303030303</v>
      </c>
      <c r="K36" s="941">
        <v>0</v>
      </c>
      <c r="L36" s="941">
        <v>0</v>
      </c>
      <c r="M36" s="940"/>
    </row>
    <row r="37" spans="1:13" ht="15">
      <c r="A37" s="932"/>
      <c r="B37" s="938" t="s">
        <v>379</v>
      </c>
      <c r="C37" s="933"/>
      <c r="D37" s="945" t="s">
        <v>316</v>
      </c>
      <c r="E37" s="950">
        <f>E38</f>
        <v>0</v>
      </c>
      <c r="F37" s="954">
        <f aca="true" t="shared" si="7" ref="F37:L37">F38</f>
        <v>10000</v>
      </c>
      <c r="G37" s="947" t="str">
        <f t="shared" si="7"/>
        <v>10 000,00</v>
      </c>
      <c r="H37" s="950">
        <f t="shared" si="7"/>
        <v>10000</v>
      </c>
      <c r="I37" s="954">
        <f>I38</f>
        <v>0</v>
      </c>
      <c r="J37" s="959">
        <f t="shared" si="0"/>
        <v>1</v>
      </c>
      <c r="K37" s="954">
        <f t="shared" si="7"/>
        <v>0</v>
      </c>
      <c r="L37" s="1439">
        <f t="shared" si="7"/>
        <v>0</v>
      </c>
      <c r="M37" s="940"/>
    </row>
    <row r="38" spans="1:13" ht="12.75">
      <c r="A38" s="935"/>
      <c r="B38" s="935"/>
      <c r="C38" s="936" t="s">
        <v>325</v>
      </c>
      <c r="D38" s="946" t="s">
        <v>16</v>
      </c>
      <c r="E38" s="951">
        <v>0</v>
      </c>
      <c r="F38" s="955">
        <f>G38-E38</f>
        <v>10000</v>
      </c>
      <c r="G38" s="949" t="s">
        <v>380</v>
      </c>
      <c r="H38" s="958">
        <v>10000</v>
      </c>
      <c r="I38" s="941">
        <v>0</v>
      </c>
      <c r="J38" s="1250">
        <f t="shared" si="0"/>
        <v>1</v>
      </c>
      <c r="K38" s="941">
        <v>0</v>
      </c>
      <c r="L38" s="941">
        <v>0</v>
      </c>
      <c r="M38" s="940"/>
    </row>
    <row r="39" spans="1:13" ht="15" hidden="1">
      <c r="A39" s="932"/>
      <c r="B39" s="938" t="s">
        <v>119</v>
      </c>
      <c r="C39" s="933"/>
      <c r="D39" s="945" t="s">
        <v>279</v>
      </c>
      <c r="E39" s="950">
        <f>E40</f>
        <v>0</v>
      </c>
      <c r="F39" s="954">
        <f aca="true" t="shared" si="8" ref="F39:L39">F40</f>
        <v>0</v>
      </c>
      <c r="G39" s="947">
        <f t="shared" si="8"/>
        <v>0</v>
      </c>
      <c r="H39" s="950">
        <f t="shared" si="8"/>
        <v>0</v>
      </c>
      <c r="I39" s="954">
        <f t="shared" si="8"/>
        <v>0</v>
      </c>
      <c r="J39" s="959" t="e">
        <f t="shared" si="0"/>
        <v>#DIV/0!</v>
      </c>
      <c r="K39" s="954">
        <f t="shared" si="8"/>
        <v>0</v>
      </c>
      <c r="L39" s="1439">
        <f t="shared" si="8"/>
        <v>0</v>
      </c>
      <c r="M39" s="940"/>
    </row>
    <row r="40" spans="1:13" ht="67.5" hidden="1">
      <c r="A40" s="935"/>
      <c r="B40" s="935"/>
      <c r="C40" s="936" t="s">
        <v>120</v>
      </c>
      <c r="D40" s="946" t="s">
        <v>551</v>
      </c>
      <c r="E40" s="951">
        <v>0</v>
      </c>
      <c r="F40" s="955">
        <f>G40-E40</f>
        <v>0</v>
      </c>
      <c r="G40" s="949">
        <v>0</v>
      </c>
      <c r="H40" s="958">
        <v>0</v>
      </c>
      <c r="I40" s="941">
        <v>0</v>
      </c>
      <c r="J40" s="1250">
        <v>0</v>
      </c>
      <c r="K40" s="941">
        <v>0</v>
      </c>
      <c r="L40" s="941">
        <v>0</v>
      </c>
      <c r="M40" s="940"/>
    </row>
    <row r="41" spans="1:13" ht="15">
      <c r="A41" s="932"/>
      <c r="B41" s="938" t="s">
        <v>126</v>
      </c>
      <c r="C41" s="933"/>
      <c r="D41" s="945" t="s">
        <v>323</v>
      </c>
      <c r="E41" s="950">
        <f>E42+E43+E44+E45+E46</f>
        <v>1682049.67</v>
      </c>
      <c r="F41" s="954">
        <f aca="true" t="shared" si="9" ref="F41:L41">F42+F43+F44+F45+F46</f>
        <v>3425176.44</v>
      </c>
      <c r="G41" s="947">
        <f t="shared" si="9"/>
        <v>5107226.109999999</v>
      </c>
      <c r="H41" s="950">
        <f t="shared" si="9"/>
        <v>2375371.5300000003</v>
      </c>
      <c r="I41" s="954">
        <f t="shared" si="9"/>
        <v>303244.76</v>
      </c>
      <c r="J41" s="959">
        <f t="shared" si="0"/>
        <v>0.4651001304502652</v>
      </c>
      <c r="K41" s="954">
        <f t="shared" si="9"/>
        <v>39669.35</v>
      </c>
      <c r="L41" s="1439">
        <f t="shared" si="9"/>
        <v>68391.22</v>
      </c>
      <c r="M41" s="940"/>
    </row>
    <row r="42" spans="1:13" ht="12.75">
      <c r="A42" s="935"/>
      <c r="B42" s="935"/>
      <c r="C42" s="936" t="s">
        <v>324</v>
      </c>
      <c r="D42" s="946" t="s">
        <v>15</v>
      </c>
      <c r="E42" s="951">
        <v>51800</v>
      </c>
      <c r="F42" s="955">
        <f>G42-E42</f>
        <v>-12515</v>
      </c>
      <c r="G42" s="949">
        <v>39285</v>
      </c>
      <c r="H42" s="958">
        <v>35344.37</v>
      </c>
      <c r="I42" s="941">
        <v>0</v>
      </c>
      <c r="J42" s="1250">
        <f t="shared" si="0"/>
        <v>0.8996912307496501</v>
      </c>
      <c r="K42" s="941">
        <v>614</v>
      </c>
      <c r="L42" s="941">
        <v>30285.49</v>
      </c>
      <c r="M42" s="940"/>
    </row>
    <row r="43" spans="1:13" ht="12.75">
      <c r="A43" s="935"/>
      <c r="B43" s="935"/>
      <c r="C43" s="936" t="s">
        <v>552</v>
      </c>
      <c r="D43" s="946" t="s">
        <v>74</v>
      </c>
      <c r="E43" s="951">
        <v>108000</v>
      </c>
      <c r="F43" s="955">
        <f>G43-E43</f>
        <v>11000</v>
      </c>
      <c r="G43" s="949">
        <v>119000</v>
      </c>
      <c r="H43" s="958">
        <v>117363.14</v>
      </c>
      <c r="I43" s="941">
        <v>0</v>
      </c>
      <c r="J43" s="1250">
        <f t="shared" si="0"/>
        <v>0.9862448739495798</v>
      </c>
      <c r="K43" s="941">
        <v>0</v>
      </c>
      <c r="L43" s="941">
        <v>0</v>
      </c>
      <c r="M43" s="940"/>
    </row>
    <row r="44" spans="1:13" ht="12.75">
      <c r="A44" s="935"/>
      <c r="B44" s="935"/>
      <c r="C44" s="936" t="s">
        <v>325</v>
      </c>
      <c r="D44" s="946" t="s">
        <v>16</v>
      </c>
      <c r="E44" s="951">
        <v>790249.67</v>
      </c>
      <c r="F44" s="955">
        <f>G44-E44</f>
        <v>482899.68000000005</v>
      </c>
      <c r="G44" s="949">
        <v>1273149.35</v>
      </c>
      <c r="H44" s="958">
        <v>1267746.92</v>
      </c>
      <c r="I44" s="941">
        <v>0</v>
      </c>
      <c r="J44" s="1250">
        <f t="shared" si="0"/>
        <v>0.9957566408057309</v>
      </c>
      <c r="K44" s="941">
        <v>39055.35</v>
      </c>
      <c r="L44" s="941">
        <v>38105.73</v>
      </c>
      <c r="M44" s="940"/>
    </row>
    <row r="45" spans="1:13" ht="12.75">
      <c r="A45" s="935"/>
      <c r="B45" s="935"/>
      <c r="C45" s="936" t="s">
        <v>544</v>
      </c>
      <c r="D45" s="946" t="s">
        <v>17</v>
      </c>
      <c r="E45" s="951">
        <v>12000</v>
      </c>
      <c r="F45" s="955">
        <f>G45-E45</f>
        <v>-2000</v>
      </c>
      <c r="G45" s="949">
        <v>10000</v>
      </c>
      <c r="H45" s="958">
        <v>7413.56</v>
      </c>
      <c r="I45" s="941">
        <v>0</v>
      </c>
      <c r="J45" s="1250">
        <f t="shared" si="0"/>
        <v>0.741356</v>
      </c>
      <c r="K45" s="941">
        <v>0</v>
      </c>
      <c r="L45" s="941">
        <v>0</v>
      </c>
      <c r="M45" s="940"/>
    </row>
    <row r="46" spans="1:13" ht="22.5">
      <c r="A46" s="935"/>
      <c r="B46" s="935"/>
      <c r="C46" s="936" t="s">
        <v>127</v>
      </c>
      <c r="D46" s="946" t="s">
        <v>41</v>
      </c>
      <c r="E46" s="951">
        <v>720000</v>
      </c>
      <c r="F46" s="955">
        <f>G46-E46</f>
        <v>2945791.76</v>
      </c>
      <c r="G46" s="949">
        <v>3665791.76</v>
      </c>
      <c r="H46" s="958">
        <v>947503.54</v>
      </c>
      <c r="I46" s="941">
        <v>303244.76</v>
      </c>
      <c r="J46" s="1250">
        <f t="shared" si="0"/>
        <v>0.2584717305382344</v>
      </c>
      <c r="K46" s="941">
        <v>0</v>
      </c>
      <c r="L46" s="941">
        <v>0</v>
      </c>
      <c r="M46" s="940"/>
    </row>
    <row r="47" spans="1:13" ht="12.75">
      <c r="A47" s="965" t="s">
        <v>143</v>
      </c>
      <c r="B47" s="965"/>
      <c r="C47" s="965"/>
      <c r="D47" s="966" t="s">
        <v>326</v>
      </c>
      <c r="E47" s="967">
        <f>E48</f>
        <v>128791</v>
      </c>
      <c r="F47" s="963">
        <f aca="true" t="shared" si="10" ref="F47:L47">F48</f>
        <v>0</v>
      </c>
      <c r="G47" s="968">
        <f t="shared" si="10"/>
        <v>128791</v>
      </c>
      <c r="H47" s="967">
        <f t="shared" si="10"/>
        <v>127734.48</v>
      </c>
      <c r="I47" s="963">
        <f t="shared" si="10"/>
        <v>0</v>
      </c>
      <c r="J47" s="964">
        <f t="shared" si="0"/>
        <v>0.9917966317522187</v>
      </c>
      <c r="K47" s="963">
        <f t="shared" si="10"/>
        <v>0</v>
      </c>
      <c r="L47" s="1440">
        <f t="shared" si="10"/>
        <v>7256</v>
      </c>
      <c r="M47" s="940"/>
    </row>
    <row r="48" spans="1:13" ht="15">
      <c r="A48" s="932"/>
      <c r="B48" s="938" t="s">
        <v>144</v>
      </c>
      <c r="C48" s="933"/>
      <c r="D48" s="945" t="s">
        <v>10</v>
      </c>
      <c r="E48" s="950">
        <f>E49+E50+E51+E52</f>
        <v>128791</v>
      </c>
      <c r="F48" s="954">
        <f aca="true" t="shared" si="11" ref="F48:L48">F49+F50+F51+F52</f>
        <v>0</v>
      </c>
      <c r="G48" s="947">
        <f t="shared" si="11"/>
        <v>128791</v>
      </c>
      <c r="H48" s="950">
        <f t="shared" si="11"/>
        <v>127734.48</v>
      </c>
      <c r="I48" s="954">
        <f t="shared" si="11"/>
        <v>0</v>
      </c>
      <c r="J48" s="959">
        <f t="shared" si="0"/>
        <v>0.9917966317522187</v>
      </c>
      <c r="K48" s="954">
        <f t="shared" si="11"/>
        <v>0</v>
      </c>
      <c r="L48" s="1439">
        <f t="shared" si="11"/>
        <v>7256</v>
      </c>
      <c r="M48" s="940"/>
    </row>
    <row r="49" spans="1:13" ht="12.75">
      <c r="A49" s="935"/>
      <c r="B49" s="935"/>
      <c r="C49" s="936" t="s">
        <v>324</v>
      </c>
      <c r="D49" s="946" t="s">
        <v>15</v>
      </c>
      <c r="E49" s="951">
        <v>17291</v>
      </c>
      <c r="F49" s="955">
        <f>G49-E49</f>
        <v>-3500</v>
      </c>
      <c r="G49" s="949">
        <v>13791</v>
      </c>
      <c r="H49" s="958">
        <v>13005.53</v>
      </c>
      <c r="I49" s="941">
        <v>0</v>
      </c>
      <c r="J49" s="1250">
        <f t="shared" si="0"/>
        <v>0.9430447393227468</v>
      </c>
      <c r="K49" s="941">
        <v>0</v>
      </c>
      <c r="L49" s="941">
        <v>7256</v>
      </c>
      <c r="M49" s="940"/>
    </row>
    <row r="50" spans="1:13" ht="12.75">
      <c r="A50" s="935"/>
      <c r="B50" s="935"/>
      <c r="C50" s="936" t="s">
        <v>325</v>
      </c>
      <c r="D50" s="946" t="s">
        <v>16</v>
      </c>
      <c r="E50" s="951">
        <v>111500</v>
      </c>
      <c r="F50" s="955">
        <f>G50-E50</f>
        <v>3500</v>
      </c>
      <c r="G50" s="949">
        <v>115000</v>
      </c>
      <c r="H50" s="958">
        <v>114728.95</v>
      </c>
      <c r="I50" s="941">
        <v>0</v>
      </c>
      <c r="J50" s="1250">
        <f t="shared" si="0"/>
        <v>0.9976430434782608</v>
      </c>
      <c r="K50" s="941">
        <v>0</v>
      </c>
      <c r="L50" s="941">
        <v>0</v>
      </c>
      <c r="M50" s="940"/>
    </row>
    <row r="51" spans="1:13" ht="22.5" hidden="1">
      <c r="A51" s="935"/>
      <c r="B51" s="935"/>
      <c r="C51" s="936" t="s">
        <v>335</v>
      </c>
      <c r="D51" s="946" t="s">
        <v>553</v>
      </c>
      <c r="E51" s="951">
        <v>0</v>
      </c>
      <c r="F51" s="955">
        <f>G51-E51</f>
        <v>0</v>
      </c>
      <c r="G51" s="949">
        <v>0</v>
      </c>
      <c r="H51" s="958">
        <v>0</v>
      </c>
      <c r="I51" s="941">
        <v>0</v>
      </c>
      <c r="J51" s="1250">
        <v>0</v>
      </c>
      <c r="K51" s="941">
        <v>0</v>
      </c>
      <c r="L51" s="941">
        <v>0</v>
      </c>
      <c r="M51" s="940"/>
    </row>
    <row r="52" spans="1:13" ht="22.5" hidden="1">
      <c r="A52" s="935"/>
      <c r="B52" s="935"/>
      <c r="C52" s="936" t="s">
        <v>145</v>
      </c>
      <c r="D52" s="946" t="s">
        <v>71</v>
      </c>
      <c r="E52" s="951">
        <v>0</v>
      </c>
      <c r="F52" s="955">
        <f>G52-E52</f>
        <v>0</v>
      </c>
      <c r="G52" s="949" t="s">
        <v>370</v>
      </c>
      <c r="H52" s="958">
        <v>0</v>
      </c>
      <c r="I52" s="941">
        <v>0</v>
      </c>
      <c r="J52" s="1250">
        <v>0</v>
      </c>
      <c r="K52" s="941">
        <v>0</v>
      </c>
      <c r="L52" s="941">
        <v>0</v>
      </c>
      <c r="M52" s="940"/>
    </row>
    <row r="53" spans="1:13" ht="12.75">
      <c r="A53" s="965" t="s">
        <v>147</v>
      </c>
      <c r="B53" s="965"/>
      <c r="C53" s="965"/>
      <c r="D53" s="966" t="s">
        <v>69</v>
      </c>
      <c r="E53" s="967">
        <f>E54+E56</f>
        <v>1066787.69</v>
      </c>
      <c r="F53" s="963">
        <f aca="true" t="shared" si="12" ref="F53:L53">F54+F56</f>
        <v>46543.57000000001</v>
      </c>
      <c r="G53" s="968">
        <f t="shared" si="12"/>
        <v>1113331.26</v>
      </c>
      <c r="H53" s="967">
        <f t="shared" si="12"/>
        <v>1012293.3300000001</v>
      </c>
      <c r="I53" s="963">
        <f t="shared" si="12"/>
        <v>0</v>
      </c>
      <c r="J53" s="964">
        <f t="shared" si="0"/>
        <v>0.9092471992567603</v>
      </c>
      <c r="K53" s="963">
        <f t="shared" si="12"/>
        <v>178128.17</v>
      </c>
      <c r="L53" s="1440">
        <f t="shared" si="12"/>
        <v>0</v>
      </c>
      <c r="M53" s="940"/>
    </row>
    <row r="54" spans="1:13" ht="15">
      <c r="A54" s="932"/>
      <c r="B54" s="938" t="s">
        <v>554</v>
      </c>
      <c r="C54" s="933"/>
      <c r="D54" s="945" t="s">
        <v>555</v>
      </c>
      <c r="E54" s="950">
        <f>E55</f>
        <v>450587.69</v>
      </c>
      <c r="F54" s="954">
        <f aca="true" t="shared" si="13" ref="F54:L54">F55</f>
        <v>43000</v>
      </c>
      <c r="G54" s="947">
        <f t="shared" si="13"/>
        <v>493587.69</v>
      </c>
      <c r="H54" s="950">
        <f t="shared" si="13"/>
        <v>479616.62</v>
      </c>
      <c r="I54" s="954">
        <f t="shared" si="13"/>
        <v>0</v>
      </c>
      <c r="J54" s="959">
        <f t="shared" si="0"/>
        <v>0.9716948573008375</v>
      </c>
      <c r="K54" s="954">
        <f t="shared" si="13"/>
        <v>0</v>
      </c>
      <c r="L54" s="1439">
        <f t="shared" si="13"/>
        <v>0</v>
      </c>
      <c r="M54" s="940"/>
    </row>
    <row r="55" spans="1:13" ht="22.5">
      <c r="A55" s="935"/>
      <c r="B55" s="935"/>
      <c r="C55" s="936" t="s">
        <v>556</v>
      </c>
      <c r="D55" s="946" t="s">
        <v>255</v>
      </c>
      <c r="E55" s="951">
        <v>450587.69</v>
      </c>
      <c r="F55" s="955">
        <f>G55-E55</f>
        <v>43000</v>
      </c>
      <c r="G55" s="949">
        <v>493587.69</v>
      </c>
      <c r="H55" s="958">
        <v>479616.62</v>
      </c>
      <c r="I55" s="941">
        <v>0</v>
      </c>
      <c r="J55" s="1250">
        <f t="shared" si="0"/>
        <v>0.9716948573008375</v>
      </c>
      <c r="K55" s="941">
        <v>0</v>
      </c>
      <c r="L55" s="941">
        <v>0</v>
      </c>
      <c r="M55" s="940"/>
    </row>
    <row r="56" spans="1:13" ht="22.5">
      <c r="A56" s="932"/>
      <c r="B56" s="938" t="s">
        <v>148</v>
      </c>
      <c r="C56" s="933"/>
      <c r="D56" s="945" t="s">
        <v>70</v>
      </c>
      <c r="E56" s="950">
        <f>E57+E58+E59+E60+E62+E63+E64+E65+E67+E68+E69+E70+E71+E66+E61</f>
        <v>616200</v>
      </c>
      <c r="F56" s="950">
        <f>F57+F58+F59+F60+F62+F63+F64+F65+F67+F68+F69+F70+F71+F66+F61</f>
        <v>3543.5700000000106</v>
      </c>
      <c r="G56" s="950">
        <f>G57+G58+G59+G60+G62+G63+G64+G65+G67+G68+G69+G70+G71+G66+G61</f>
        <v>619743.5700000001</v>
      </c>
      <c r="H56" s="950">
        <f>H57+H58+H59+H60+H62+H63+H64+H65+H67+H68+H69+H70+H71+H66+H61</f>
        <v>532676.7100000001</v>
      </c>
      <c r="I56" s="950">
        <f>I57+I58+I59+I60+I62+I63+I64+I65+I67+I68+I69+I70+I71+I66+I61</f>
        <v>0</v>
      </c>
      <c r="J56" s="959">
        <f t="shared" si="0"/>
        <v>0.8595114750444285</v>
      </c>
      <c r="K56" s="954">
        <f>K57+K58+K59+K60+K62+K63+K64+K65+K67+K68+K69+K70+K71</f>
        <v>178128.17</v>
      </c>
      <c r="L56" s="1439">
        <f>L57+L58+L59+L60+L62+L63+L64+L65+L67+L68+L69+L70+L71</f>
        <v>0</v>
      </c>
      <c r="M56" s="940"/>
    </row>
    <row r="57" spans="1:13" ht="12.75">
      <c r="A57" s="935"/>
      <c r="B57" s="935"/>
      <c r="C57" s="936" t="s">
        <v>324</v>
      </c>
      <c r="D57" s="946" t="s">
        <v>15</v>
      </c>
      <c r="E57" s="951">
        <v>5000</v>
      </c>
      <c r="F57" s="955">
        <f>G57-E57</f>
        <v>3500</v>
      </c>
      <c r="G57" s="949">
        <v>8500</v>
      </c>
      <c r="H57" s="958">
        <v>7969.1</v>
      </c>
      <c r="I57" s="941">
        <v>0</v>
      </c>
      <c r="J57" s="1250">
        <f t="shared" si="0"/>
        <v>0.9375411764705883</v>
      </c>
      <c r="K57" s="941">
        <v>0</v>
      </c>
      <c r="L57" s="941">
        <v>0</v>
      </c>
      <c r="M57" s="940"/>
    </row>
    <row r="58" spans="1:13" ht="12.75">
      <c r="A58" s="935"/>
      <c r="B58" s="935"/>
      <c r="C58" s="936" t="s">
        <v>546</v>
      </c>
      <c r="D58" s="946" t="s">
        <v>37</v>
      </c>
      <c r="E58" s="951">
        <v>110000</v>
      </c>
      <c r="F58" s="955">
        <f aca="true" t="shared" si="14" ref="F58:F71">G58-E58</f>
        <v>28500</v>
      </c>
      <c r="G58" s="949">
        <v>138500</v>
      </c>
      <c r="H58" s="958">
        <v>122750.71</v>
      </c>
      <c r="I58" s="941">
        <v>0</v>
      </c>
      <c r="J58" s="1250">
        <f t="shared" si="0"/>
        <v>0.886286714801444</v>
      </c>
      <c r="K58" s="941">
        <v>18948.25</v>
      </c>
      <c r="L58" s="941">
        <v>0</v>
      </c>
      <c r="M58" s="940"/>
    </row>
    <row r="59" spans="1:13" ht="12.75">
      <c r="A59" s="935"/>
      <c r="B59" s="935"/>
      <c r="C59" s="936" t="s">
        <v>552</v>
      </c>
      <c r="D59" s="946" t="s">
        <v>74</v>
      </c>
      <c r="E59" s="951">
        <v>10000</v>
      </c>
      <c r="F59" s="955">
        <f t="shared" si="14"/>
        <v>15000</v>
      </c>
      <c r="G59" s="949">
        <v>25000</v>
      </c>
      <c r="H59" s="958">
        <v>25000</v>
      </c>
      <c r="I59" s="941">
        <v>0</v>
      </c>
      <c r="J59" s="1250">
        <f t="shared" si="0"/>
        <v>1</v>
      </c>
      <c r="K59" s="941">
        <v>0</v>
      </c>
      <c r="L59" s="941">
        <v>0</v>
      </c>
      <c r="M59" s="940"/>
    </row>
    <row r="60" spans="1:13" ht="12.75">
      <c r="A60" s="935"/>
      <c r="B60" s="935"/>
      <c r="C60" s="936" t="s">
        <v>325</v>
      </c>
      <c r="D60" s="946" t="s">
        <v>16</v>
      </c>
      <c r="E60" s="951">
        <v>150000</v>
      </c>
      <c r="F60" s="955">
        <f t="shared" si="14"/>
        <v>-10170</v>
      </c>
      <c r="G60" s="949">
        <v>139830</v>
      </c>
      <c r="H60" s="958">
        <v>129276.22</v>
      </c>
      <c r="I60" s="941">
        <v>0</v>
      </c>
      <c r="J60" s="1250">
        <f t="shared" si="0"/>
        <v>0.9245242079668169</v>
      </c>
      <c r="K60" s="941">
        <v>1642.83</v>
      </c>
      <c r="L60" s="941">
        <v>0</v>
      </c>
      <c r="M60" s="940"/>
    </row>
    <row r="61" spans="1:13" ht="22.5">
      <c r="A61" s="935"/>
      <c r="B61" s="935"/>
      <c r="C61" s="984" t="s">
        <v>595</v>
      </c>
      <c r="D61" s="1266" t="s">
        <v>871</v>
      </c>
      <c r="E61" s="951">
        <v>0</v>
      </c>
      <c r="F61" s="955">
        <f t="shared" si="14"/>
        <v>10000</v>
      </c>
      <c r="G61" s="949">
        <v>10000</v>
      </c>
      <c r="H61" s="958">
        <v>7380</v>
      </c>
      <c r="I61" s="941">
        <v>0</v>
      </c>
      <c r="J61" s="1250">
        <f t="shared" si="0"/>
        <v>0.738</v>
      </c>
      <c r="K61" s="941">
        <v>0</v>
      </c>
      <c r="L61" s="941">
        <v>0</v>
      </c>
      <c r="M61" s="940"/>
    </row>
    <row r="62" spans="1:13" ht="12.75">
      <c r="A62" s="935"/>
      <c r="B62" s="935"/>
      <c r="C62" s="936" t="s">
        <v>544</v>
      </c>
      <c r="D62" s="946" t="s">
        <v>17</v>
      </c>
      <c r="E62" s="951">
        <v>2000</v>
      </c>
      <c r="F62" s="955">
        <f t="shared" si="14"/>
        <v>0</v>
      </c>
      <c r="G62" s="949">
        <v>2000</v>
      </c>
      <c r="H62" s="958">
        <v>1360</v>
      </c>
      <c r="I62" s="941">
        <v>0</v>
      </c>
      <c r="J62" s="1250">
        <f t="shared" si="0"/>
        <v>0.68</v>
      </c>
      <c r="K62" s="941">
        <v>0</v>
      </c>
      <c r="L62" s="941">
        <v>0</v>
      </c>
      <c r="M62" s="940"/>
    </row>
    <row r="63" spans="1:13" ht="22.5">
      <c r="A63" s="935"/>
      <c r="B63" s="935"/>
      <c r="C63" s="936" t="s">
        <v>557</v>
      </c>
      <c r="D63" s="946" t="s">
        <v>558</v>
      </c>
      <c r="E63" s="951">
        <v>700</v>
      </c>
      <c r="F63" s="955">
        <f t="shared" si="14"/>
        <v>0</v>
      </c>
      <c r="G63" s="949" t="s">
        <v>559</v>
      </c>
      <c r="H63" s="958">
        <v>655</v>
      </c>
      <c r="I63" s="941">
        <v>0</v>
      </c>
      <c r="J63" s="1250">
        <f t="shared" si="0"/>
        <v>0.9357142857142857</v>
      </c>
      <c r="K63" s="941">
        <v>0</v>
      </c>
      <c r="L63" s="941">
        <v>0</v>
      </c>
      <c r="M63" s="940"/>
    </row>
    <row r="64" spans="1:13" ht="12.75">
      <c r="A64" s="935"/>
      <c r="B64" s="935"/>
      <c r="C64" s="936" t="s">
        <v>560</v>
      </c>
      <c r="D64" s="946" t="s">
        <v>561</v>
      </c>
      <c r="E64" s="951">
        <v>0</v>
      </c>
      <c r="F64" s="955">
        <f t="shared" si="14"/>
        <v>0</v>
      </c>
      <c r="G64" s="949">
        <v>0</v>
      </c>
      <c r="H64" s="958">
        <v>0</v>
      </c>
      <c r="I64" s="941">
        <v>0</v>
      </c>
      <c r="J64" s="1250">
        <v>0</v>
      </c>
      <c r="K64" s="941">
        <v>0</v>
      </c>
      <c r="L64" s="941">
        <v>0</v>
      </c>
      <c r="M64" s="940"/>
    </row>
    <row r="65" spans="1:13" ht="22.5">
      <c r="A65" s="935"/>
      <c r="B65" s="935"/>
      <c r="C65" s="936" t="s">
        <v>562</v>
      </c>
      <c r="D65" s="946" t="s">
        <v>563</v>
      </c>
      <c r="E65" s="951">
        <v>5500</v>
      </c>
      <c r="F65" s="955">
        <f t="shared" si="14"/>
        <v>0</v>
      </c>
      <c r="G65" s="949">
        <v>5500</v>
      </c>
      <c r="H65" s="958">
        <v>5239.39</v>
      </c>
      <c r="I65" s="941">
        <v>0</v>
      </c>
      <c r="J65" s="1250">
        <f t="shared" si="0"/>
        <v>0.9526163636363637</v>
      </c>
      <c r="K65" s="941">
        <v>0</v>
      </c>
      <c r="L65" s="941">
        <v>0</v>
      </c>
      <c r="M65" s="940"/>
    </row>
    <row r="66" spans="1:13" ht="12.75">
      <c r="A66" s="935"/>
      <c r="B66" s="935"/>
      <c r="C66" s="984" t="s">
        <v>872</v>
      </c>
      <c r="D66" s="1266" t="s">
        <v>873</v>
      </c>
      <c r="E66" s="951">
        <v>0</v>
      </c>
      <c r="F66" s="955">
        <f t="shared" si="14"/>
        <v>521.23</v>
      </c>
      <c r="G66" s="949">
        <v>521.23</v>
      </c>
      <c r="H66" s="958">
        <v>521.23</v>
      </c>
      <c r="I66" s="941">
        <v>0</v>
      </c>
      <c r="J66" s="1250">
        <f t="shared" si="0"/>
        <v>1</v>
      </c>
      <c r="K66" s="941">
        <v>0</v>
      </c>
      <c r="L66" s="941">
        <v>0</v>
      </c>
      <c r="M66" s="940"/>
    </row>
    <row r="67" spans="1:13" ht="22.5">
      <c r="A67" s="935"/>
      <c r="B67" s="935"/>
      <c r="C67" s="936" t="s">
        <v>564</v>
      </c>
      <c r="D67" s="946" t="s">
        <v>565</v>
      </c>
      <c r="E67" s="951">
        <v>80000</v>
      </c>
      <c r="F67" s="955">
        <f t="shared" si="14"/>
        <v>-57521.229999999996</v>
      </c>
      <c r="G67" s="949">
        <v>22478.77</v>
      </c>
      <c r="H67" s="958">
        <v>21375.88</v>
      </c>
      <c r="I67" s="941">
        <v>0</v>
      </c>
      <c r="J67" s="1250">
        <f t="shared" si="0"/>
        <v>0.9509363724082768</v>
      </c>
      <c r="K67" s="941">
        <v>0</v>
      </c>
      <c r="L67" s="941">
        <v>0</v>
      </c>
      <c r="M67" s="940"/>
    </row>
    <row r="68" spans="1:13" ht="33.75">
      <c r="A68" s="935"/>
      <c r="B68" s="935"/>
      <c r="C68" s="936" t="s">
        <v>566</v>
      </c>
      <c r="D68" s="946" t="s">
        <v>567</v>
      </c>
      <c r="E68" s="951">
        <v>45000</v>
      </c>
      <c r="F68" s="955">
        <f t="shared" si="14"/>
        <v>0</v>
      </c>
      <c r="G68" s="949">
        <v>45000</v>
      </c>
      <c r="H68" s="958">
        <v>43446.9</v>
      </c>
      <c r="I68" s="941">
        <v>0</v>
      </c>
      <c r="J68" s="1250">
        <f t="shared" si="0"/>
        <v>0.9654866666666667</v>
      </c>
      <c r="K68" s="941">
        <v>37.09</v>
      </c>
      <c r="L68" s="941">
        <v>0</v>
      </c>
      <c r="M68" s="940"/>
    </row>
    <row r="69" spans="1:13" ht="22.5">
      <c r="A69" s="935"/>
      <c r="B69" s="935"/>
      <c r="C69" s="936" t="s">
        <v>568</v>
      </c>
      <c r="D69" s="946" t="s">
        <v>569</v>
      </c>
      <c r="E69" s="951">
        <v>8000</v>
      </c>
      <c r="F69" s="955">
        <f t="shared" si="14"/>
        <v>0</v>
      </c>
      <c r="G69" s="949">
        <v>8000</v>
      </c>
      <c r="H69" s="958">
        <v>300</v>
      </c>
      <c r="I69" s="941">
        <v>0</v>
      </c>
      <c r="J69" s="1250">
        <f t="shared" si="0"/>
        <v>0.0375</v>
      </c>
      <c r="K69" s="941">
        <v>0</v>
      </c>
      <c r="L69" s="941">
        <v>0</v>
      </c>
      <c r="M69" s="940"/>
    </row>
    <row r="70" spans="1:13" ht="22.5" hidden="1">
      <c r="A70" s="935"/>
      <c r="B70" s="935"/>
      <c r="C70" s="936" t="s">
        <v>127</v>
      </c>
      <c r="D70" s="946" t="s">
        <v>41</v>
      </c>
      <c r="E70" s="951">
        <v>0</v>
      </c>
      <c r="F70" s="955">
        <f t="shared" si="14"/>
        <v>0</v>
      </c>
      <c r="G70" s="949">
        <v>0</v>
      </c>
      <c r="H70" s="958">
        <v>0</v>
      </c>
      <c r="I70" s="941">
        <v>0</v>
      </c>
      <c r="J70" s="1250">
        <v>0</v>
      </c>
      <c r="K70" s="941">
        <v>0</v>
      </c>
      <c r="L70" s="941">
        <v>0</v>
      </c>
      <c r="M70" s="940"/>
    </row>
    <row r="71" spans="1:13" ht="22.5">
      <c r="A71" s="935"/>
      <c r="B71" s="935"/>
      <c r="C71" s="936" t="s">
        <v>145</v>
      </c>
      <c r="D71" s="946" t="s">
        <v>71</v>
      </c>
      <c r="E71" s="951">
        <v>200000</v>
      </c>
      <c r="F71" s="955">
        <f t="shared" si="14"/>
        <v>13713.570000000007</v>
      </c>
      <c r="G71" s="949">
        <v>213713.57</v>
      </c>
      <c r="H71" s="958">
        <v>167402.28</v>
      </c>
      <c r="I71" s="941">
        <v>0</v>
      </c>
      <c r="J71" s="1250">
        <f t="shared" si="0"/>
        <v>0.7833020617268244</v>
      </c>
      <c r="K71" s="941">
        <v>157500</v>
      </c>
      <c r="L71" s="941">
        <v>0</v>
      </c>
      <c r="M71" s="940"/>
    </row>
    <row r="72" spans="1:13" ht="12.75">
      <c r="A72" s="965" t="s">
        <v>570</v>
      </c>
      <c r="B72" s="965"/>
      <c r="C72" s="965"/>
      <c r="D72" s="966" t="s">
        <v>571</v>
      </c>
      <c r="E72" s="967">
        <f>E73+E76</f>
        <v>160000</v>
      </c>
      <c r="F72" s="963">
        <f aca="true" t="shared" si="15" ref="F72:L72">F73+F76</f>
        <v>-79000</v>
      </c>
      <c r="G72" s="968">
        <f t="shared" si="15"/>
        <v>81000</v>
      </c>
      <c r="H72" s="967">
        <f t="shared" si="15"/>
        <v>64891.92</v>
      </c>
      <c r="I72" s="963">
        <f t="shared" si="15"/>
        <v>0</v>
      </c>
      <c r="J72" s="964">
        <f t="shared" si="0"/>
        <v>0.8011348148148147</v>
      </c>
      <c r="K72" s="963">
        <f t="shared" si="15"/>
        <v>15821</v>
      </c>
      <c r="L72" s="1440">
        <f t="shared" si="15"/>
        <v>0</v>
      </c>
      <c r="M72" s="940"/>
    </row>
    <row r="73" spans="1:13" ht="22.5">
      <c r="A73" s="932"/>
      <c r="B73" s="938" t="s">
        <v>572</v>
      </c>
      <c r="C73" s="933"/>
      <c r="D73" s="945" t="s">
        <v>573</v>
      </c>
      <c r="E73" s="950">
        <f>E74+E75</f>
        <v>140000</v>
      </c>
      <c r="F73" s="954">
        <f aca="true" t="shared" si="16" ref="F73:L73">F74+F75</f>
        <v>-73000</v>
      </c>
      <c r="G73" s="947">
        <f t="shared" si="16"/>
        <v>67000</v>
      </c>
      <c r="H73" s="950">
        <f t="shared" si="16"/>
        <v>51470.57</v>
      </c>
      <c r="I73" s="954">
        <f t="shared" si="16"/>
        <v>0</v>
      </c>
      <c r="J73" s="959">
        <f t="shared" si="0"/>
        <v>0.7682174626865672</v>
      </c>
      <c r="K73" s="954">
        <f t="shared" si="16"/>
        <v>15821</v>
      </c>
      <c r="L73" s="1439">
        <f t="shared" si="16"/>
        <v>0</v>
      </c>
      <c r="M73" s="940"/>
    </row>
    <row r="74" spans="1:13" ht="12.75">
      <c r="A74" s="935"/>
      <c r="B74" s="935"/>
      <c r="C74" s="936" t="s">
        <v>331</v>
      </c>
      <c r="D74" s="946" t="s">
        <v>28</v>
      </c>
      <c r="E74" s="951">
        <v>50000</v>
      </c>
      <c r="F74" s="955">
        <f>G74-E74</f>
        <v>-22000</v>
      </c>
      <c r="G74" s="949">
        <v>28000</v>
      </c>
      <c r="H74" s="958">
        <v>16235</v>
      </c>
      <c r="I74" s="941">
        <v>0</v>
      </c>
      <c r="J74" s="1250">
        <f t="shared" si="0"/>
        <v>0.5798214285714286</v>
      </c>
      <c r="K74" s="941">
        <v>15061</v>
      </c>
      <c r="L74" s="941">
        <v>0</v>
      </c>
      <c r="M74" s="940"/>
    </row>
    <row r="75" spans="1:13" ht="12.75">
      <c r="A75" s="935"/>
      <c r="B75" s="935"/>
      <c r="C75" s="936" t="s">
        <v>325</v>
      </c>
      <c r="D75" s="946" t="s">
        <v>16</v>
      </c>
      <c r="E75" s="951">
        <v>90000</v>
      </c>
      <c r="F75" s="955">
        <f>G75-E75</f>
        <v>-51000</v>
      </c>
      <c r="G75" s="949">
        <v>39000</v>
      </c>
      <c r="H75" s="958">
        <v>35235.57</v>
      </c>
      <c r="I75" s="941">
        <v>0</v>
      </c>
      <c r="J75" s="1250">
        <f t="shared" si="0"/>
        <v>0.9034761538461539</v>
      </c>
      <c r="K75" s="941">
        <v>760</v>
      </c>
      <c r="L75" s="941">
        <v>0</v>
      </c>
      <c r="M75" s="940"/>
    </row>
    <row r="76" spans="1:13" ht="15">
      <c r="A76" s="932"/>
      <c r="B76" s="938" t="s">
        <v>574</v>
      </c>
      <c r="C76" s="933"/>
      <c r="D76" s="945" t="s">
        <v>575</v>
      </c>
      <c r="E76" s="950">
        <f>E77+E78</f>
        <v>20000</v>
      </c>
      <c r="F76" s="954">
        <f aca="true" t="shared" si="17" ref="F76:L76">F77+F78</f>
        <v>-6000</v>
      </c>
      <c r="G76" s="947">
        <f t="shared" si="17"/>
        <v>14000</v>
      </c>
      <c r="H76" s="950">
        <f t="shared" si="17"/>
        <v>13421.35</v>
      </c>
      <c r="I76" s="954">
        <f t="shared" si="17"/>
        <v>0</v>
      </c>
      <c r="J76" s="959">
        <f t="shared" si="0"/>
        <v>0.9586678571428572</v>
      </c>
      <c r="K76" s="954">
        <f t="shared" si="17"/>
        <v>0</v>
      </c>
      <c r="L76" s="1439">
        <f t="shared" si="17"/>
        <v>0</v>
      </c>
      <c r="M76" s="940"/>
    </row>
    <row r="77" spans="1:13" ht="12.75">
      <c r="A77" s="935"/>
      <c r="B77" s="935"/>
      <c r="C77" s="936" t="s">
        <v>331</v>
      </c>
      <c r="D77" s="946" t="s">
        <v>28</v>
      </c>
      <c r="E77" s="951">
        <v>0</v>
      </c>
      <c r="F77" s="955">
        <f>G77-E77</f>
        <v>0</v>
      </c>
      <c r="G77" s="949" t="s">
        <v>370</v>
      </c>
      <c r="H77" s="958">
        <v>0</v>
      </c>
      <c r="I77" s="941">
        <v>0</v>
      </c>
      <c r="J77" s="1250">
        <v>0</v>
      </c>
      <c r="K77" s="941">
        <v>0</v>
      </c>
      <c r="L77" s="941">
        <v>0</v>
      </c>
      <c r="M77" s="940"/>
    </row>
    <row r="78" spans="1:13" ht="12.75">
      <c r="A78" s="935"/>
      <c r="B78" s="935"/>
      <c r="C78" s="936" t="s">
        <v>325</v>
      </c>
      <c r="D78" s="946" t="s">
        <v>16</v>
      </c>
      <c r="E78" s="951">
        <v>20000</v>
      </c>
      <c r="F78" s="955">
        <f>G78-E78</f>
        <v>-6000</v>
      </c>
      <c r="G78" s="949">
        <v>14000</v>
      </c>
      <c r="H78" s="958">
        <v>13421.35</v>
      </c>
      <c r="I78" s="941">
        <v>0</v>
      </c>
      <c r="J78" s="1250">
        <f t="shared" si="0"/>
        <v>0.9586678571428572</v>
      </c>
      <c r="K78" s="941">
        <v>0</v>
      </c>
      <c r="L78" s="941">
        <v>0</v>
      </c>
      <c r="M78" s="940"/>
    </row>
    <row r="79" spans="1:13" ht="12.75">
      <c r="A79" s="965" t="s">
        <v>155</v>
      </c>
      <c r="B79" s="965"/>
      <c r="C79" s="965"/>
      <c r="D79" s="966" t="s">
        <v>18</v>
      </c>
      <c r="E79" s="967">
        <f>E80+E90+E98+E122+E125+E131+E149</f>
        <v>6437897.24</v>
      </c>
      <c r="F79" s="967">
        <f>F80+F90+F98+F122+F125+F131+F149</f>
        <v>105240.44</v>
      </c>
      <c r="G79" s="967">
        <f>G80+G90+G98+G122+G125+G131+G149</f>
        <v>6543137.680000001</v>
      </c>
      <c r="H79" s="967">
        <f>H80+H90+H98+H122+H125+H131+H149</f>
        <v>5954148.86</v>
      </c>
      <c r="I79" s="967">
        <f>I80+I90+I98+I122+I125+I131+I149</f>
        <v>0</v>
      </c>
      <c r="J79" s="964">
        <f t="shared" si="0"/>
        <v>0.9099837342869422</v>
      </c>
      <c r="K79" s="963">
        <f>K80+K90+K98+K122+K125+K131+K149</f>
        <v>516033.99999999994</v>
      </c>
      <c r="L79" s="1440">
        <f>L80+L90+L98+L122+L125+L131+L149</f>
        <v>0</v>
      </c>
      <c r="M79" s="940"/>
    </row>
    <row r="80" spans="1:13" ht="15">
      <c r="A80" s="932"/>
      <c r="B80" s="938" t="s">
        <v>400</v>
      </c>
      <c r="C80" s="933"/>
      <c r="D80" s="945" t="s">
        <v>19</v>
      </c>
      <c r="E80" s="950">
        <f>E81+E82+E83+E84+E85+E86+E88+E89+E87</f>
        <v>152140</v>
      </c>
      <c r="F80" s="950">
        <f>F81+F82+F83+F84+F85+F86+F88+F89+F87</f>
        <v>48913</v>
      </c>
      <c r="G80" s="950">
        <f>G81+G82+G83+G84+G85+G86+G88+G89+G87</f>
        <v>201053</v>
      </c>
      <c r="H80" s="950">
        <f>H81+H82+H83+H84+H85+H86+H88+H89+H87</f>
        <v>187341.86</v>
      </c>
      <c r="I80" s="950">
        <f>I81+I82+I83+I84+I85+I86+I88+I89+I87</f>
        <v>0</v>
      </c>
      <c r="J80" s="959">
        <f aca="true" t="shared" si="18" ref="J80:J144">H80/G80</f>
        <v>0.9318033553341656</v>
      </c>
      <c r="K80" s="954">
        <f>K81+K82+K83+K84+K85+K86+K88+K89</f>
        <v>0</v>
      </c>
      <c r="L80" s="1439">
        <f>L81+L82+L83+L84+L85+L86+L88+L89</f>
        <v>0</v>
      </c>
      <c r="M80" s="940"/>
    </row>
    <row r="81" spans="1:13" ht="22.5">
      <c r="A81" s="935"/>
      <c r="B81" s="935"/>
      <c r="C81" s="936" t="s">
        <v>576</v>
      </c>
      <c r="D81" s="946" t="s">
        <v>577</v>
      </c>
      <c r="E81" s="951">
        <v>0</v>
      </c>
      <c r="F81" s="955">
        <f>G81-E81</f>
        <v>0</v>
      </c>
      <c r="G81" s="949">
        <v>0</v>
      </c>
      <c r="H81" s="958">
        <v>0</v>
      </c>
      <c r="I81" s="941">
        <v>0</v>
      </c>
      <c r="J81" s="1250">
        <v>0</v>
      </c>
      <c r="K81" s="941">
        <v>0</v>
      </c>
      <c r="L81" s="941">
        <v>0</v>
      </c>
      <c r="M81" s="940"/>
    </row>
    <row r="82" spans="1:13" ht="22.5">
      <c r="A82" s="935"/>
      <c r="B82" s="935"/>
      <c r="C82" s="936" t="s">
        <v>543</v>
      </c>
      <c r="D82" s="946" t="s">
        <v>12</v>
      </c>
      <c r="E82" s="951">
        <v>127636.54</v>
      </c>
      <c r="F82" s="955">
        <f aca="true" t="shared" si="19" ref="F82:F89">G82-E82</f>
        <v>1941</v>
      </c>
      <c r="G82" s="949">
        <v>129577.54</v>
      </c>
      <c r="H82" s="958">
        <v>129577.54</v>
      </c>
      <c r="I82" s="941">
        <v>0</v>
      </c>
      <c r="J82" s="1250">
        <f t="shared" si="18"/>
        <v>1</v>
      </c>
      <c r="K82" s="941">
        <v>0</v>
      </c>
      <c r="L82" s="941">
        <v>0</v>
      </c>
      <c r="M82" s="940"/>
    </row>
    <row r="83" spans="1:13" ht="12.75">
      <c r="A83" s="935"/>
      <c r="B83" s="935"/>
      <c r="C83" s="936" t="s">
        <v>578</v>
      </c>
      <c r="D83" s="946" t="s">
        <v>579</v>
      </c>
      <c r="E83" s="951">
        <v>0</v>
      </c>
      <c r="F83" s="955">
        <f t="shared" si="19"/>
        <v>0</v>
      </c>
      <c r="G83" s="949">
        <v>0</v>
      </c>
      <c r="H83" s="958">
        <v>0</v>
      </c>
      <c r="I83" s="941">
        <v>0</v>
      </c>
      <c r="J83" s="1250">
        <v>0</v>
      </c>
      <c r="K83" s="941">
        <v>0</v>
      </c>
      <c r="L83" s="941">
        <v>0</v>
      </c>
      <c r="M83" s="940"/>
    </row>
    <row r="84" spans="1:13" ht="12.75">
      <c r="A84" s="935"/>
      <c r="B84" s="935"/>
      <c r="C84" s="936" t="s">
        <v>333</v>
      </c>
      <c r="D84" s="946" t="s">
        <v>13</v>
      </c>
      <c r="E84" s="951">
        <v>21825.84</v>
      </c>
      <c r="F84" s="955">
        <f t="shared" si="19"/>
        <v>332</v>
      </c>
      <c r="G84" s="949">
        <v>22157.84</v>
      </c>
      <c r="H84" s="958">
        <v>22157.84</v>
      </c>
      <c r="I84" s="941">
        <v>0</v>
      </c>
      <c r="J84" s="1250">
        <f t="shared" si="18"/>
        <v>1</v>
      </c>
      <c r="K84" s="941">
        <v>0</v>
      </c>
      <c r="L84" s="941">
        <v>0</v>
      </c>
      <c r="M84" s="940"/>
    </row>
    <row r="85" spans="1:13" ht="33.75">
      <c r="A85" s="935"/>
      <c r="B85" s="935"/>
      <c r="C85" s="936" t="s">
        <v>334</v>
      </c>
      <c r="D85" s="1266" t="s">
        <v>875</v>
      </c>
      <c r="E85" s="951">
        <v>2677.62</v>
      </c>
      <c r="F85" s="955">
        <f t="shared" si="19"/>
        <v>48</v>
      </c>
      <c r="G85" s="949">
        <v>2725.62</v>
      </c>
      <c r="H85" s="958">
        <v>2725.62</v>
      </c>
      <c r="I85" s="941">
        <v>0</v>
      </c>
      <c r="J85" s="1250">
        <f t="shared" si="18"/>
        <v>1</v>
      </c>
      <c r="K85" s="941">
        <v>0</v>
      </c>
      <c r="L85" s="941">
        <v>0</v>
      </c>
      <c r="M85" s="940"/>
    </row>
    <row r="86" spans="1:13" ht="12.75">
      <c r="A86" s="935"/>
      <c r="B86" s="935"/>
      <c r="C86" s="936" t="s">
        <v>324</v>
      </c>
      <c r="D86" s="946" t="s">
        <v>15</v>
      </c>
      <c r="E86" s="951">
        <v>0</v>
      </c>
      <c r="F86" s="955">
        <f t="shared" si="19"/>
        <v>8000</v>
      </c>
      <c r="G86" s="949">
        <v>8000</v>
      </c>
      <c r="H86" s="958">
        <v>7986.3</v>
      </c>
      <c r="I86" s="941">
        <v>0</v>
      </c>
      <c r="J86" s="1250">
        <f t="shared" si="18"/>
        <v>0.9982875</v>
      </c>
      <c r="K86" s="941">
        <v>0</v>
      </c>
      <c r="L86" s="941">
        <v>0</v>
      </c>
      <c r="M86" s="940"/>
    </row>
    <row r="87" spans="1:13" ht="12.75">
      <c r="A87" s="935"/>
      <c r="B87" s="935"/>
      <c r="C87" s="984" t="s">
        <v>552</v>
      </c>
      <c r="D87" s="1266" t="s">
        <v>74</v>
      </c>
      <c r="E87" s="951">
        <v>0</v>
      </c>
      <c r="F87" s="955">
        <f t="shared" si="19"/>
        <v>35642</v>
      </c>
      <c r="G87" s="949">
        <v>35642</v>
      </c>
      <c r="H87" s="958">
        <v>21950.56</v>
      </c>
      <c r="I87" s="941">
        <v>0</v>
      </c>
      <c r="J87" s="1250">
        <f t="shared" si="18"/>
        <v>0.6158621850625666</v>
      </c>
      <c r="K87" s="941">
        <v>0</v>
      </c>
      <c r="L87" s="941">
        <v>0</v>
      </c>
      <c r="M87" s="940"/>
    </row>
    <row r="88" spans="1:13" ht="12.75">
      <c r="A88" s="935"/>
      <c r="B88" s="935"/>
      <c r="C88" s="936" t="s">
        <v>325</v>
      </c>
      <c r="D88" s="946" t="s">
        <v>16</v>
      </c>
      <c r="E88" s="951">
        <v>0</v>
      </c>
      <c r="F88" s="955">
        <f t="shared" si="19"/>
        <v>0</v>
      </c>
      <c r="G88" s="949">
        <v>0</v>
      </c>
      <c r="H88" s="958">
        <v>0</v>
      </c>
      <c r="I88" s="941">
        <v>0</v>
      </c>
      <c r="J88" s="1250">
        <v>0</v>
      </c>
      <c r="K88" s="941">
        <v>0</v>
      </c>
      <c r="L88" s="941">
        <v>0</v>
      </c>
      <c r="M88" s="940"/>
    </row>
    <row r="89" spans="1:13" ht="22.5">
      <c r="A89" s="935"/>
      <c r="B89" s="935"/>
      <c r="C89" s="936" t="s">
        <v>580</v>
      </c>
      <c r="D89" s="946" t="s">
        <v>581</v>
      </c>
      <c r="E89" s="951">
        <v>0</v>
      </c>
      <c r="F89" s="955">
        <f t="shared" si="19"/>
        <v>2950</v>
      </c>
      <c r="G89" s="949">
        <v>2950</v>
      </c>
      <c r="H89" s="958">
        <v>2944</v>
      </c>
      <c r="I89" s="941">
        <v>0</v>
      </c>
      <c r="J89" s="1250">
        <f t="shared" si="18"/>
        <v>0.9979661016949153</v>
      </c>
      <c r="K89" s="941">
        <v>0</v>
      </c>
      <c r="L89" s="941">
        <v>0</v>
      </c>
      <c r="M89" s="940"/>
    </row>
    <row r="90" spans="1:13" ht="22.5">
      <c r="A90" s="932"/>
      <c r="B90" s="938" t="s">
        <v>156</v>
      </c>
      <c r="C90" s="933"/>
      <c r="D90" s="945" t="s">
        <v>582</v>
      </c>
      <c r="E90" s="950">
        <f>E91+E92+E93+E94+E95+E96+E97</f>
        <v>359943.2</v>
      </c>
      <c r="F90" s="954">
        <f aca="true" t="shared" si="20" ref="F90:L90">F91+F92+F93+F94+F95+F96+F97</f>
        <v>-24179.119999999995</v>
      </c>
      <c r="G90" s="947">
        <f t="shared" si="20"/>
        <v>335764.08</v>
      </c>
      <c r="H90" s="950">
        <f t="shared" si="20"/>
        <v>319892.82000000007</v>
      </c>
      <c r="I90" s="954">
        <f t="shared" si="20"/>
        <v>0</v>
      </c>
      <c r="J90" s="959">
        <f t="shared" si="18"/>
        <v>0.9527309174942121</v>
      </c>
      <c r="K90" s="954">
        <f t="shared" si="20"/>
        <v>480</v>
      </c>
      <c r="L90" s="1439">
        <f t="shared" si="20"/>
        <v>0</v>
      </c>
      <c r="M90" s="940"/>
    </row>
    <row r="91" spans="1:13" ht="22.5">
      <c r="A91" s="935"/>
      <c r="B91" s="935"/>
      <c r="C91" s="936" t="s">
        <v>583</v>
      </c>
      <c r="D91" s="946" t="s">
        <v>584</v>
      </c>
      <c r="E91" s="951">
        <v>328943.2</v>
      </c>
      <c r="F91" s="955">
        <f>G91-E91</f>
        <v>-34179.119999999995</v>
      </c>
      <c r="G91" s="949">
        <v>294764.08</v>
      </c>
      <c r="H91" s="958">
        <v>293316.52</v>
      </c>
      <c r="I91" s="941">
        <v>0</v>
      </c>
      <c r="J91" s="1250">
        <f t="shared" si="18"/>
        <v>0.9950890895525669</v>
      </c>
      <c r="K91" s="941">
        <v>0</v>
      </c>
      <c r="L91" s="941">
        <v>0</v>
      </c>
      <c r="M91" s="940"/>
    </row>
    <row r="92" spans="1:13" ht="12.75">
      <c r="A92" s="935"/>
      <c r="B92" s="935"/>
      <c r="C92" s="936" t="s">
        <v>585</v>
      </c>
      <c r="D92" s="946" t="s">
        <v>586</v>
      </c>
      <c r="E92" s="951">
        <v>4000</v>
      </c>
      <c r="F92" s="955">
        <f aca="true" t="shared" si="21" ref="F92:F97">G92-E92</f>
        <v>-4000</v>
      </c>
      <c r="G92" s="949">
        <v>0</v>
      </c>
      <c r="H92" s="958">
        <v>0</v>
      </c>
      <c r="I92" s="941">
        <v>0</v>
      </c>
      <c r="J92" s="1250">
        <v>0</v>
      </c>
      <c r="K92" s="941">
        <v>0</v>
      </c>
      <c r="L92" s="941">
        <v>0</v>
      </c>
      <c r="M92" s="940"/>
    </row>
    <row r="93" spans="1:13" ht="12.75">
      <c r="A93" s="935"/>
      <c r="B93" s="935"/>
      <c r="C93" s="936" t="s">
        <v>324</v>
      </c>
      <c r="D93" s="946" t="s">
        <v>15</v>
      </c>
      <c r="E93" s="951">
        <v>12000</v>
      </c>
      <c r="F93" s="955">
        <f t="shared" si="21"/>
        <v>100</v>
      </c>
      <c r="G93" s="949">
        <v>12100</v>
      </c>
      <c r="H93" s="958">
        <v>11886.9</v>
      </c>
      <c r="I93" s="941">
        <v>0</v>
      </c>
      <c r="J93" s="1250">
        <f t="shared" si="18"/>
        <v>0.9823884297520661</v>
      </c>
      <c r="K93" s="941">
        <v>0</v>
      </c>
      <c r="L93" s="941">
        <v>0</v>
      </c>
      <c r="M93" s="940"/>
    </row>
    <row r="94" spans="1:13" ht="12.75">
      <c r="A94" s="935"/>
      <c r="B94" s="935"/>
      <c r="C94" s="936" t="s">
        <v>325</v>
      </c>
      <c r="D94" s="946" t="s">
        <v>16</v>
      </c>
      <c r="E94" s="951">
        <v>10000</v>
      </c>
      <c r="F94" s="955">
        <f t="shared" si="21"/>
        <v>13900</v>
      </c>
      <c r="G94" s="949">
        <v>23900</v>
      </c>
      <c r="H94" s="958">
        <v>13719.95</v>
      </c>
      <c r="I94" s="941">
        <v>0</v>
      </c>
      <c r="J94" s="1250">
        <f t="shared" si="18"/>
        <v>0.5740564853556486</v>
      </c>
      <c r="K94" s="941">
        <v>480</v>
      </c>
      <c r="L94" s="941">
        <v>0</v>
      </c>
      <c r="M94" s="940"/>
    </row>
    <row r="95" spans="1:13" ht="22.5">
      <c r="A95" s="935"/>
      <c r="B95" s="935"/>
      <c r="C95" s="936" t="s">
        <v>335</v>
      </c>
      <c r="D95" s="946" t="s">
        <v>553</v>
      </c>
      <c r="E95" s="951">
        <v>1000</v>
      </c>
      <c r="F95" s="955">
        <f t="shared" si="21"/>
        <v>0</v>
      </c>
      <c r="G95" s="949">
        <v>1000</v>
      </c>
      <c r="H95" s="958">
        <v>969.45</v>
      </c>
      <c r="I95" s="941">
        <v>0</v>
      </c>
      <c r="J95" s="1250">
        <f t="shared" si="18"/>
        <v>0.96945</v>
      </c>
      <c r="K95" s="941">
        <v>0</v>
      </c>
      <c r="L95" s="941">
        <v>0</v>
      </c>
      <c r="M95" s="940"/>
    </row>
    <row r="96" spans="1:13" ht="12.75">
      <c r="A96" s="935"/>
      <c r="B96" s="935"/>
      <c r="C96" s="936" t="s">
        <v>587</v>
      </c>
      <c r="D96" s="946" t="s">
        <v>588</v>
      </c>
      <c r="E96" s="951">
        <v>4000</v>
      </c>
      <c r="F96" s="955">
        <f t="shared" si="21"/>
        <v>0</v>
      </c>
      <c r="G96" s="949" t="s">
        <v>529</v>
      </c>
      <c r="H96" s="958">
        <v>0</v>
      </c>
      <c r="I96" s="941">
        <v>0</v>
      </c>
      <c r="J96" s="1250">
        <f t="shared" si="18"/>
        <v>0</v>
      </c>
      <c r="K96" s="941">
        <v>0</v>
      </c>
      <c r="L96" s="941">
        <v>0</v>
      </c>
      <c r="M96" s="940"/>
    </row>
    <row r="97" spans="1:13" ht="22.5" hidden="1">
      <c r="A97" s="935"/>
      <c r="B97" s="935"/>
      <c r="C97" s="936" t="s">
        <v>145</v>
      </c>
      <c r="D97" s="946" t="s">
        <v>71</v>
      </c>
      <c r="E97" s="951">
        <v>0</v>
      </c>
      <c r="F97" s="955">
        <f t="shared" si="21"/>
        <v>0</v>
      </c>
      <c r="G97" s="949">
        <v>0</v>
      </c>
      <c r="H97" s="958">
        <v>0</v>
      </c>
      <c r="I97" s="941">
        <v>0</v>
      </c>
      <c r="J97" s="1250">
        <v>0</v>
      </c>
      <c r="K97" s="941">
        <v>0</v>
      </c>
      <c r="L97" s="941">
        <v>0</v>
      </c>
      <c r="M97" s="940"/>
    </row>
    <row r="98" spans="1:13" ht="22.5">
      <c r="A98" s="932"/>
      <c r="B98" s="938" t="s">
        <v>159</v>
      </c>
      <c r="C98" s="933"/>
      <c r="D98" s="945" t="s">
        <v>401</v>
      </c>
      <c r="E98" s="950">
        <f>E99+E100+E101+E102+E103+E105+E104+E106+E107+E108+E109+E110+E111+E112+E113+E114+E115+E116+E117+E118+E119+E120+E121</f>
        <v>4579468.04</v>
      </c>
      <c r="F98" s="954">
        <f aca="true" t="shared" si="22" ref="F98:L98">F99+F100+F101+F102+F103+F105+F104+F106+F107+F108+F109+F110+F111+F112+F113+F114+F115+F116+F117+F118+F119+F120+F121</f>
        <v>32646.44000000001</v>
      </c>
      <c r="G98" s="947">
        <f t="shared" si="22"/>
        <v>4612114.48</v>
      </c>
      <c r="H98" s="950">
        <f t="shared" si="22"/>
        <v>4116682.1799999992</v>
      </c>
      <c r="I98" s="954">
        <f t="shared" si="22"/>
        <v>0</v>
      </c>
      <c r="J98" s="959">
        <f t="shared" si="18"/>
        <v>0.8925802249383885</v>
      </c>
      <c r="K98" s="954">
        <f t="shared" si="22"/>
        <v>416673.52999999997</v>
      </c>
      <c r="L98" s="1439">
        <f t="shared" si="22"/>
        <v>0</v>
      </c>
      <c r="M98" s="940"/>
    </row>
    <row r="99" spans="1:13" ht="22.5">
      <c r="A99" s="935"/>
      <c r="B99" s="935"/>
      <c r="C99" s="936" t="s">
        <v>576</v>
      </c>
      <c r="D99" s="946" t="s">
        <v>577</v>
      </c>
      <c r="E99" s="951">
        <v>6900</v>
      </c>
      <c r="F99" s="955">
        <f>G99-E99</f>
        <v>1000</v>
      </c>
      <c r="G99" s="949">
        <v>7900</v>
      </c>
      <c r="H99" s="958">
        <v>7313</v>
      </c>
      <c r="I99" s="941">
        <v>0</v>
      </c>
      <c r="J99" s="1250">
        <f t="shared" si="18"/>
        <v>0.9256962025316455</v>
      </c>
      <c r="K99" s="941">
        <v>0</v>
      </c>
      <c r="L99" s="941">
        <v>0</v>
      </c>
      <c r="M99" s="940"/>
    </row>
    <row r="100" spans="1:13" ht="22.5">
      <c r="A100" s="935"/>
      <c r="B100" s="935"/>
      <c r="C100" s="936" t="s">
        <v>543</v>
      </c>
      <c r="D100" s="946" t="s">
        <v>12</v>
      </c>
      <c r="E100" s="951">
        <v>2774201.19</v>
      </c>
      <c r="F100" s="955">
        <f aca="true" t="shared" si="23" ref="F100:F121">G100-E100</f>
        <v>-28000</v>
      </c>
      <c r="G100" s="949">
        <v>2746201.19</v>
      </c>
      <c r="H100" s="958">
        <v>2502200.46</v>
      </c>
      <c r="I100" s="941">
        <v>0</v>
      </c>
      <c r="J100" s="1250">
        <f t="shared" si="18"/>
        <v>0.9111497253411357</v>
      </c>
      <c r="K100" s="941">
        <v>86381.85</v>
      </c>
      <c r="L100" s="941">
        <v>0</v>
      </c>
      <c r="M100" s="940"/>
    </row>
    <row r="101" spans="1:13" ht="12.75">
      <c r="A101" s="935"/>
      <c r="B101" s="935"/>
      <c r="C101" s="936" t="s">
        <v>578</v>
      </c>
      <c r="D101" s="946" t="s">
        <v>579</v>
      </c>
      <c r="E101" s="951">
        <v>212343.81</v>
      </c>
      <c r="F101" s="955">
        <f t="shared" si="23"/>
        <v>-6811.779999999999</v>
      </c>
      <c r="G101" s="949">
        <v>205532.03</v>
      </c>
      <c r="H101" s="958">
        <v>205532.03</v>
      </c>
      <c r="I101" s="941">
        <v>0</v>
      </c>
      <c r="J101" s="1250">
        <f t="shared" si="18"/>
        <v>1</v>
      </c>
      <c r="K101" s="941">
        <v>195818.01</v>
      </c>
      <c r="L101" s="941">
        <v>0</v>
      </c>
      <c r="M101" s="940"/>
    </row>
    <row r="102" spans="1:13" ht="12.75">
      <c r="A102" s="935"/>
      <c r="B102" s="935"/>
      <c r="C102" s="936" t="s">
        <v>333</v>
      </c>
      <c r="D102" s="946" t="s">
        <v>13</v>
      </c>
      <c r="E102" s="951">
        <v>484834.07</v>
      </c>
      <c r="F102" s="955">
        <f t="shared" si="23"/>
        <v>51509.07000000001</v>
      </c>
      <c r="G102" s="949">
        <v>536343.14</v>
      </c>
      <c r="H102" s="958">
        <v>436020.88</v>
      </c>
      <c r="I102" s="941">
        <v>0</v>
      </c>
      <c r="J102" s="1250">
        <f t="shared" si="18"/>
        <v>0.8129513505104213</v>
      </c>
      <c r="K102" s="941">
        <v>79409.72</v>
      </c>
      <c r="L102" s="941">
        <v>0</v>
      </c>
      <c r="M102" s="940"/>
    </row>
    <row r="103" spans="1:13" ht="33.75">
      <c r="A103" s="935"/>
      <c r="B103" s="935"/>
      <c r="C103" s="936" t="s">
        <v>334</v>
      </c>
      <c r="D103" s="1266" t="s">
        <v>875</v>
      </c>
      <c r="E103" s="951">
        <v>57887.97</v>
      </c>
      <c r="F103" s="955">
        <f t="shared" si="23"/>
        <v>4285.1500000000015</v>
      </c>
      <c r="G103" s="949">
        <v>62173.12</v>
      </c>
      <c r="H103" s="958">
        <v>35202.04</v>
      </c>
      <c r="I103" s="941">
        <v>0</v>
      </c>
      <c r="J103" s="1250">
        <f t="shared" si="18"/>
        <v>0.5661938792841665</v>
      </c>
      <c r="K103" s="941">
        <v>7764.96</v>
      </c>
      <c r="L103" s="941">
        <v>0</v>
      </c>
      <c r="M103" s="940"/>
    </row>
    <row r="104" spans="1:13" ht="22.5">
      <c r="A104" s="935"/>
      <c r="B104" s="935"/>
      <c r="C104" s="936" t="s">
        <v>590</v>
      </c>
      <c r="D104" s="946" t="s">
        <v>591</v>
      </c>
      <c r="E104" s="951">
        <v>46000</v>
      </c>
      <c r="F104" s="955">
        <f t="shared" si="23"/>
        <v>-23497</v>
      </c>
      <c r="G104" s="949">
        <v>22503</v>
      </c>
      <c r="H104" s="958">
        <v>20532</v>
      </c>
      <c r="I104" s="941">
        <v>0</v>
      </c>
      <c r="J104" s="1250">
        <f t="shared" si="18"/>
        <v>0.9124116784428743</v>
      </c>
      <c r="K104" s="941">
        <v>3766</v>
      </c>
      <c r="L104" s="941">
        <v>0</v>
      </c>
      <c r="M104" s="940"/>
    </row>
    <row r="105" spans="1:13" ht="12.75">
      <c r="A105" s="935"/>
      <c r="B105" s="935"/>
      <c r="C105" s="936" t="s">
        <v>331</v>
      </c>
      <c r="D105" s="946" t="s">
        <v>28</v>
      </c>
      <c r="E105" s="951">
        <v>25000</v>
      </c>
      <c r="F105" s="955">
        <f t="shared" si="23"/>
        <v>20000</v>
      </c>
      <c r="G105" s="949">
        <v>45000</v>
      </c>
      <c r="H105" s="958">
        <v>39746.74</v>
      </c>
      <c r="I105" s="941">
        <v>0</v>
      </c>
      <c r="J105" s="1250">
        <f t="shared" si="18"/>
        <v>0.8832608888888889</v>
      </c>
      <c r="K105" s="941">
        <v>1705.26</v>
      </c>
      <c r="L105" s="941">
        <v>0</v>
      </c>
      <c r="M105" s="940"/>
    </row>
    <row r="106" spans="1:13" ht="12.75">
      <c r="A106" s="935"/>
      <c r="B106" s="935"/>
      <c r="C106" s="936" t="s">
        <v>324</v>
      </c>
      <c r="D106" s="946" t="s">
        <v>15</v>
      </c>
      <c r="E106" s="951">
        <v>145700</v>
      </c>
      <c r="F106" s="955">
        <f t="shared" si="23"/>
        <v>-3666</v>
      </c>
      <c r="G106" s="949">
        <v>142034</v>
      </c>
      <c r="H106" s="958">
        <v>135104.71</v>
      </c>
      <c r="I106" s="941">
        <v>0</v>
      </c>
      <c r="J106" s="1250">
        <f t="shared" si="18"/>
        <v>0.951213864286016</v>
      </c>
      <c r="K106" s="941">
        <v>0</v>
      </c>
      <c r="L106" s="941">
        <v>0</v>
      </c>
      <c r="M106" s="940"/>
    </row>
    <row r="107" spans="1:13" ht="12.75">
      <c r="A107" s="935"/>
      <c r="B107" s="935"/>
      <c r="C107" s="936" t="s">
        <v>546</v>
      </c>
      <c r="D107" s="946" t="s">
        <v>37</v>
      </c>
      <c r="E107" s="951">
        <v>78000</v>
      </c>
      <c r="F107" s="955">
        <f t="shared" si="23"/>
        <v>0</v>
      </c>
      <c r="G107" s="949">
        <v>78000</v>
      </c>
      <c r="H107" s="958">
        <v>66649.67</v>
      </c>
      <c r="I107" s="941">
        <v>0</v>
      </c>
      <c r="J107" s="1250">
        <f t="shared" si="18"/>
        <v>0.8544829487179487</v>
      </c>
      <c r="K107" s="941">
        <v>8209.83</v>
      </c>
      <c r="L107" s="941">
        <v>0</v>
      </c>
      <c r="M107" s="940"/>
    </row>
    <row r="108" spans="1:13" ht="12.75">
      <c r="A108" s="935"/>
      <c r="B108" s="935"/>
      <c r="C108" s="936" t="s">
        <v>552</v>
      </c>
      <c r="D108" s="946" t="s">
        <v>74</v>
      </c>
      <c r="E108" s="951">
        <v>56500</v>
      </c>
      <c r="F108" s="955">
        <f t="shared" si="23"/>
        <v>-25000</v>
      </c>
      <c r="G108" s="949">
        <v>31500</v>
      </c>
      <c r="H108" s="958">
        <v>31158.97</v>
      </c>
      <c r="I108" s="941">
        <v>0</v>
      </c>
      <c r="J108" s="1250">
        <f t="shared" si="18"/>
        <v>0.9891736507936508</v>
      </c>
      <c r="K108" s="941">
        <v>0</v>
      </c>
      <c r="L108" s="941">
        <v>0</v>
      </c>
      <c r="M108" s="940"/>
    </row>
    <row r="109" spans="1:13" ht="12.75">
      <c r="A109" s="935"/>
      <c r="B109" s="935"/>
      <c r="C109" s="936" t="s">
        <v>592</v>
      </c>
      <c r="D109" s="946" t="s">
        <v>38</v>
      </c>
      <c r="E109" s="951">
        <v>2000</v>
      </c>
      <c r="F109" s="955">
        <f t="shared" si="23"/>
        <v>4000</v>
      </c>
      <c r="G109" s="949">
        <v>6000</v>
      </c>
      <c r="H109" s="958">
        <v>4119</v>
      </c>
      <c r="I109" s="941">
        <v>0</v>
      </c>
      <c r="J109" s="1250">
        <f t="shared" si="18"/>
        <v>0.6865</v>
      </c>
      <c r="K109" s="941">
        <v>580</v>
      </c>
      <c r="L109" s="941">
        <v>0</v>
      </c>
      <c r="M109" s="940"/>
    </row>
    <row r="110" spans="1:13" ht="12.75">
      <c r="A110" s="935"/>
      <c r="B110" s="935"/>
      <c r="C110" s="936" t="s">
        <v>325</v>
      </c>
      <c r="D110" s="946" t="s">
        <v>16</v>
      </c>
      <c r="E110" s="951">
        <v>333500</v>
      </c>
      <c r="F110" s="955">
        <f t="shared" si="23"/>
        <v>22964</v>
      </c>
      <c r="G110" s="949">
        <v>356464</v>
      </c>
      <c r="H110" s="958">
        <v>335429.69</v>
      </c>
      <c r="I110" s="941">
        <v>0</v>
      </c>
      <c r="J110" s="1250">
        <f t="shared" si="18"/>
        <v>0.9409917691548094</v>
      </c>
      <c r="K110" s="941">
        <v>11708.6</v>
      </c>
      <c r="L110" s="941">
        <v>0</v>
      </c>
      <c r="M110" s="940"/>
    </row>
    <row r="111" spans="1:13" ht="22.5">
      <c r="A111" s="935"/>
      <c r="B111" s="935"/>
      <c r="C111" s="936" t="s">
        <v>335</v>
      </c>
      <c r="D111" s="946" t="s">
        <v>553</v>
      </c>
      <c r="E111" s="951">
        <v>36500</v>
      </c>
      <c r="F111" s="955">
        <f t="shared" si="23"/>
        <v>0</v>
      </c>
      <c r="G111" s="949">
        <v>36500</v>
      </c>
      <c r="H111" s="958">
        <v>35882.51</v>
      </c>
      <c r="I111" s="941">
        <v>0</v>
      </c>
      <c r="J111" s="1250">
        <f t="shared" si="18"/>
        <v>0.9830824657534247</v>
      </c>
      <c r="K111" s="941">
        <v>0</v>
      </c>
      <c r="L111" s="941">
        <v>0</v>
      </c>
      <c r="M111" s="940"/>
    </row>
    <row r="112" spans="1:13" ht="12.75">
      <c r="A112" s="935"/>
      <c r="B112" s="935"/>
      <c r="C112" s="936" t="s">
        <v>593</v>
      </c>
      <c r="D112" s="946" t="s">
        <v>594</v>
      </c>
      <c r="E112" s="951">
        <v>1000</v>
      </c>
      <c r="F112" s="955">
        <f t="shared" si="23"/>
        <v>-1000</v>
      </c>
      <c r="G112" s="949" t="s">
        <v>370</v>
      </c>
      <c r="H112" s="958">
        <v>0</v>
      </c>
      <c r="I112" s="941">
        <v>0</v>
      </c>
      <c r="J112" s="1250">
        <v>0</v>
      </c>
      <c r="K112" s="941">
        <v>0</v>
      </c>
      <c r="L112" s="941">
        <v>0</v>
      </c>
      <c r="M112" s="940"/>
    </row>
    <row r="113" spans="1:13" ht="22.5">
      <c r="A113" s="935"/>
      <c r="B113" s="935"/>
      <c r="C113" s="936" t="s">
        <v>595</v>
      </c>
      <c r="D113" s="946" t="s">
        <v>596</v>
      </c>
      <c r="E113" s="951">
        <v>70000</v>
      </c>
      <c r="F113" s="955">
        <f t="shared" si="23"/>
        <v>-1000</v>
      </c>
      <c r="G113" s="949">
        <v>69000</v>
      </c>
      <c r="H113" s="958">
        <v>59463.5</v>
      </c>
      <c r="I113" s="941">
        <v>0</v>
      </c>
      <c r="J113" s="1250">
        <f t="shared" si="18"/>
        <v>0.8617898550724638</v>
      </c>
      <c r="K113" s="941">
        <v>0</v>
      </c>
      <c r="L113" s="941">
        <v>0</v>
      </c>
      <c r="M113" s="940"/>
    </row>
    <row r="114" spans="1:13" ht="12.75">
      <c r="A114" s="935"/>
      <c r="B114" s="935"/>
      <c r="C114" s="936" t="s">
        <v>597</v>
      </c>
      <c r="D114" s="946" t="s">
        <v>22</v>
      </c>
      <c r="E114" s="951">
        <v>38000</v>
      </c>
      <c r="F114" s="955">
        <f t="shared" si="23"/>
        <v>0</v>
      </c>
      <c r="G114" s="949">
        <v>38000</v>
      </c>
      <c r="H114" s="958">
        <v>36116.38</v>
      </c>
      <c r="I114" s="941">
        <v>0</v>
      </c>
      <c r="J114" s="1250">
        <f t="shared" si="18"/>
        <v>0.9504310526315789</v>
      </c>
      <c r="K114" s="941">
        <v>2329.3</v>
      </c>
      <c r="L114" s="941">
        <v>0</v>
      </c>
      <c r="M114" s="940"/>
    </row>
    <row r="115" spans="1:13" ht="12.75">
      <c r="A115" s="935"/>
      <c r="B115" s="935"/>
      <c r="C115" s="936" t="s">
        <v>587</v>
      </c>
      <c r="D115" s="946" t="s">
        <v>588</v>
      </c>
      <c r="E115" s="951">
        <v>4000</v>
      </c>
      <c r="F115" s="955">
        <f t="shared" si="23"/>
        <v>0</v>
      </c>
      <c r="G115" s="949">
        <v>4000</v>
      </c>
      <c r="H115" s="958">
        <v>0</v>
      </c>
      <c r="I115" s="941">
        <v>0</v>
      </c>
      <c r="J115" s="1250">
        <v>0</v>
      </c>
      <c r="K115" s="941">
        <v>0</v>
      </c>
      <c r="L115" s="941">
        <v>0</v>
      </c>
      <c r="M115" s="940"/>
    </row>
    <row r="116" spans="1:13" ht="12.75">
      <c r="A116" s="935"/>
      <c r="B116" s="935"/>
      <c r="C116" s="936" t="s">
        <v>544</v>
      </c>
      <c r="D116" s="946" t="s">
        <v>17</v>
      </c>
      <c r="E116" s="951">
        <v>28000</v>
      </c>
      <c r="F116" s="955">
        <f t="shared" si="23"/>
        <v>2000</v>
      </c>
      <c r="G116" s="949">
        <v>30000</v>
      </c>
      <c r="H116" s="958">
        <v>29298.21</v>
      </c>
      <c r="I116" s="941">
        <v>0</v>
      </c>
      <c r="J116" s="1250">
        <f t="shared" si="18"/>
        <v>0.976607</v>
      </c>
      <c r="K116" s="941">
        <v>0</v>
      </c>
      <c r="L116" s="941">
        <v>0</v>
      </c>
      <c r="M116" s="940"/>
    </row>
    <row r="117" spans="1:13" ht="22.5">
      <c r="A117" s="935"/>
      <c r="B117" s="935"/>
      <c r="C117" s="936" t="s">
        <v>598</v>
      </c>
      <c r="D117" s="946" t="s">
        <v>40</v>
      </c>
      <c r="E117" s="951">
        <v>71101</v>
      </c>
      <c r="F117" s="955">
        <f t="shared" si="23"/>
        <v>539</v>
      </c>
      <c r="G117" s="949">
        <v>71640</v>
      </c>
      <c r="H117" s="958">
        <v>68964</v>
      </c>
      <c r="I117" s="941">
        <v>0</v>
      </c>
      <c r="J117" s="1250">
        <f t="shared" si="18"/>
        <v>0.9626465661641541</v>
      </c>
      <c r="K117" s="941">
        <v>0</v>
      </c>
      <c r="L117" s="941">
        <v>0</v>
      </c>
      <c r="M117" s="940"/>
    </row>
    <row r="118" spans="1:13" ht="22.5">
      <c r="A118" s="935"/>
      <c r="B118" s="935"/>
      <c r="C118" s="936" t="s">
        <v>568</v>
      </c>
      <c r="D118" s="946" t="s">
        <v>569</v>
      </c>
      <c r="E118" s="951">
        <v>50000</v>
      </c>
      <c r="F118" s="955">
        <f t="shared" si="23"/>
        <v>-2676</v>
      </c>
      <c r="G118" s="949">
        <v>47324</v>
      </c>
      <c r="H118" s="958">
        <v>18078.53</v>
      </c>
      <c r="I118" s="941">
        <v>0</v>
      </c>
      <c r="J118" s="1250">
        <f t="shared" si="18"/>
        <v>0.3820161017665455</v>
      </c>
      <c r="K118" s="941">
        <v>0</v>
      </c>
      <c r="L118" s="941">
        <v>0</v>
      </c>
      <c r="M118" s="940"/>
    </row>
    <row r="119" spans="1:13" ht="22.5">
      <c r="A119" s="935"/>
      <c r="B119" s="935"/>
      <c r="C119" s="936" t="s">
        <v>580</v>
      </c>
      <c r="D119" s="946" t="s">
        <v>581</v>
      </c>
      <c r="E119" s="951">
        <v>38000</v>
      </c>
      <c r="F119" s="955">
        <f t="shared" si="23"/>
        <v>4000</v>
      </c>
      <c r="G119" s="949">
        <v>42000</v>
      </c>
      <c r="H119" s="958">
        <v>34869.86</v>
      </c>
      <c r="I119" s="941">
        <v>0</v>
      </c>
      <c r="J119" s="1250">
        <f t="shared" si="18"/>
        <v>0.8302347619047619</v>
      </c>
      <c r="K119" s="941">
        <v>0</v>
      </c>
      <c r="L119" s="941">
        <v>0</v>
      </c>
      <c r="M119" s="940"/>
    </row>
    <row r="120" spans="1:13" ht="22.5" hidden="1">
      <c r="A120" s="935"/>
      <c r="B120" s="935"/>
      <c r="C120" s="936" t="s">
        <v>127</v>
      </c>
      <c r="D120" s="946" t="s">
        <v>41</v>
      </c>
      <c r="E120" s="951">
        <v>0</v>
      </c>
      <c r="F120" s="955">
        <f t="shared" si="23"/>
        <v>0</v>
      </c>
      <c r="G120" s="949">
        <v>0</v>
      </c>
      <c r="H120" s="958">
        <v>0</v>
      </c>
      <c r="I120" s="941">
        <v>0</v>
      </c>
      <c r="J120" s="1250">
        <v>0</v>
      </c>
      <c r="K120" s="941">
        <v>0</v>
      </c>
      <c r="L120" s="941">
        <v>0</v>
      </c>
      <c r="M120" s="940"/>
    </row>
    <row r="121" spans="1:13" ht="22.5">
      <c r="A121" s="935"/>
      <c r="B121" s="935"/>
      <c r="C121" s="936" t="s">
        <v>145</v>
      </c>
      <c r="D121" s="946" t="s">
        <v>71</v>
      </c>
      <c r="E121" s="951">
        <v>20000</v>
      </c>
      <c r="F121" s="955">
        <f t="shared" si="23"/>
        <v>14000</v>
      </c>
      <c r="G121" s="949">
        <v>34000</v>
      </c>
      <c r="H121" s="958">
        <v>15000</v>
      </c>
      <c r="I121" s="941">
        <v>0</v>
      </c>
      <c r="J121" s="1250">
        <v>0</v>
      </c>
      <c r="K121" s="941">
        <v>19000</v>
      </c>
      <c r="L121" s="941">
        <v>0</v>
      </c>
      <c r="M121" s="940"/>
    </row>
    <row r="122" spans="1:13" ht="56.25">
      <c r="A122" s="932"/>
      <c r="B122" s="938" t="s">
        <v>599</v>
      </c>
      <c r="C122" s="933"/>
      <c r="D122" s="945" t="s">
        <v>600</v>
      </c>
      <c r="E122" s="950">
        <f>E123+E124</f>
        <v>0</v>
      </c>
      <c r="F122" s="954">
        <f aca="true" t="shared" si="24" ref="F122:L122">F123+F124</f>
        <v>0</v>
      </c>
      <c r="G122" s="947">
        <f t="shared" si="24"/>
        <v>0</v>
      </c>
      <c r="H122" s="950">
        <f t="shared" si="24"/>
        <v>0</v>
      </c>
      <c r="I122" s="954">
        <f t="shared" si="24"/>
        <v>0</v>
      </c>
      <c r="J122" s="959" t="e">
        <f t="shared" si="18"/>
        <v>#DIV/0!</v>
      </c>
      <c r="K122" s="954">
        <f t="shared" si="24"/>
        <v>0</v>
      </c>
      <c r="L122" s="1439">
        <f t="shared" si="24"/>
        <v>0</v>
      </c>
      <c r="M122" s="940"/>
    </row>
    <row r="123" spans="1:13" ht="12.75">
      <c r="A123" s="935"/>
      <c r="B123" s="935"/>
      <c r="C123" s="936" t="s">
        <v>324</v>
      </c>
      <c r="D123" s="946" t="s">
        <v>15</v>
      </c>
      <c r="E123" s="951">
        <v>0</v>
      </c>
      <c r="F123" s="955">
        <f>G123-E123</f>
        <v>0</v>
      </c>
      <c r="G123" s="949">
        <v>0</v>
      </c>
      <c r="H123" s="958">
        <v>0</v>
      </c>
      <c r="I123" s="941">
        <v>0</v>
      </c>
      <c r="J123" s="1250">
        <v>0</v>
      </c>
      <c r="K123" s="941">
        <v>0</v>
      </c>
      <c r="L123" s="941">
        <v>0</v>
      </c>
      <c r="M123" s="940"/>
    </row>
    <row r="124" spans="1:13" ht="12.75">
      <c r="A124" s="935"/>
      <c r="B124" s="935"/>
      <c r="C124" s="936" t="s">
        <v>552</v>
      </c>
      <c r="D124" s="946" t="s">
        <v>74</v>
      </c>
      <c r="E124" s="951">
        <v>0</v>
      </c>
      <c r="F124" s="955">
        <f>G124-E124</f>
        <v>0</v>
      </c>
      <c r="G124" s="949">
        <v>0</v>
      </c>
      <c r="H124" s="958">
        <v>0</v>
      </c>
      <c r="I124" s="941">
        <v>0</v>
      </c>
      <c r="J124" s="1250">
        <v>0</v>
      </c>
      <c r="K124" s="941">
        <v>0</v>
      </c>
      <c r="L124" s="941">
        <v>0</v>
      </c>
      <c r="M124" s="940"/>
    </row>
    <row r="125" spans="1:13" ht="22.5">
      <c r="A125" s="932"/>
      <c r="B125" s="938" t="s">
        <v>405</v>
      </c>
      <c r="C125" s="933"/>
      <c r="D125" s="945" t="s">
        <v>72</v>
      </c>
      <c r="E125" s="950">
        <f>E126+E127+E128+E129+E130</f>
        <v>140500</v>
      </c>
      <c r="F125" s="954">
        <f aca="true" t="shared" si="25" ref="F125:L125">F126+F127+F128+F129+F130</f>
        <v>26132</v>
      </c>
      <c r="G125" s="947">
        <f t="shared" si="25"/>
        <v>166632</v>
      </c>
      <c r="H125" s="950">
        <f t="shared" si="25"/>
        <v>129650.45000000001</v>
      </c>
      <c r="I125" s="954">
        <f t="shared" si="25"/>
        <v>0</v>
      </c>
      <c r="J125" s="959">
        <f t="shared" si="18"/>
        <v>0.7780645374237842</v>
      </c>
      <c r="K125" s="954">
        <f t="shared" si="25"/>
        <v>34815.53999999999</v>
      </c>
      <c r="L125" s="1439">
        <f t="shared" si="25"/>
        <v>0</v>
      </c>
      <c r="M125" s="940"/>
    </row>
    <row r="126" spans="1:13" ht="12.75">
      <c r="A126" s="935"/>
      <c r="B126" s="935"/>
      <c r="C126" s="936" t="s">
        <v>333</v>
      </c>
      <c r="D126" s="946" t="s">
        <v>13</v>
      </c>
      <c r="E126" s="951">
        <v>0</v>
      </c>
      <c r="F126" s="955">
        <f>G126-E126</f>
        <v>1480</v>
      </c>
      <c r="G126" s="949">
        <v>1480</v>
      </c>
      <c r="H126" s="958">
        <v>845.41</v>
      </c>
      <c r="I126" s="941">
        <v>0</v>
      </c>
      <c r="J126" s="1250">
        <f t="shared" si="18"/>
        <v>0.571222972972973</v>
      </c>
      <c r="K126" s="941">
        <v>422.7</v>
      </c>
      <c r="L126" s="941">
        <v>0</v>
      </c>
      <c r="M126" s="940"/>
    </row>
    <row r="127" spans="1:13" ht="12.75">
      <c r="A127" s="935"/>
      <c r="B127" s="935"/>
      <c r="C127" s="936" t="s">
        <v>331</v>
      </c>
      <c r="D127" s="946" t="s">
        <v>28</v>
      </c>
      <c r="E127" s="951">
        <v>4500</v>
      </c>
      <c r="F127" s="955">
        <f>G127-E127</f>
        <v>8652</v>
      </c>
      <c r="G127" s="949">
        <v>13152</v>
      </c>
      <c r="H127" s="958">
        <v>12035.24</v>
      </c>
      <c r="I127" s="941">
        <v>0</v>
      </c>
      <c r="J127" s="1250">
        <f t="shared" si="18"/>
        <v>0.9150881995133819</v>
      </c>
      <c r="K127" s="941">
        <v>640.76</v>
      </c>
      <c r="L127" s="941">
        <v>0</v>
      </c>
      <c r="M127" s="940"/>
    </row>
    <row r="128" spans="1:13" ht="12.75">
      <c r="A128" s="935"/>
      <c r="B128" s="935"/>
      <c r="C128" s="936" t="s">
        <v>324</v>
      </c>
      <c r="D128" s="946" t="s">
        <v>15</v>
      </c>
      <c r="E128" s="951">
        <v>53200</v>
      </c>
      <c r="F128" s="955">
        <f>G128-E128</f>
        <v>2000</v>
      </c>
      <c r="G128" s="949">
        <v>55200</v>
      </c>
      <c r="H128" s="958">
        <v>21318.36</v>
      </c>
      <c r="I128" s="941">
        <v>0</v>
      </c>
      <c r="J128" s="1250">
        <f t="shared" si="18"/>
        <v>0.3862021739130435</v>
      </c>
      <c r="K128" s="941">
        <v>33526.88</v>
      </c>
      <c r="L128" s="941">
        <v>0</v>
      </c>
      <c r="M128" s="940"/>
    </row>
    <row r="129" spans="1:13" ht="12.75">
      <c r="A129" s="935"/>
      <c r="B129" s="935"/>
      <c r="C129" s="936" t="s">
        <v>325</v>
      </c>
      <c r="D129" s="946" t="s">
        <v>16</v>
      </c>
      <c r="E129" s="951">
        <v>82800</v>
      </c>
      <c r="F129" s="955">
        <f>G129-E129</f>
        <v>14000</v>
      </c>
      <c r="G129" s="949">
        <v>96800</v>
      </c>
      <c r="H129" s="958">
        <v>95451.44</v>
      </c>
      <c r="I129" s="941">
        <v>0</v>
      </c>
      <c r="J129" s="1250">
        <f t="shared" si="18"/>
        <v>0.9860685950413224</v>
      </c>
      <c r="K129" s="941">
        <v>225.2</v>
      </c>
      <c r="L129" s="941">
        <v>0</v>
      </c>
      <c r="M129" s="940"/>
    </row>
    <row r="130" spans="1:13" ht="12.75">
      <c r="A130" s="935"/>
      <c r="B130" s="935"/>
      <c r="C130" s="936" t="s">
        <v>593</v>
      </c>
      <c r="D130" s="946" t="s">
        <v>594</v>
      </c>
      <c r="E130" s="951">
        <v>0</v>
      </c>
      <c r="F130" s="955">
        <f>G130-E130</f>
        <v>0</v>
      </c>
      <c r="G130" s="949">
        <v>0</v>
      </c>
      <c r="H130" s="958">
        <v>0</v>
      </c>
      <c r="I130" s="941">
        <v>0</v>
      </c>
      <c r="J130" s="1250">
        <v>0</v>
      </c>
      <c r="K130" s="941">
        <v>0</v>
      </c>
      <c r="L130" s="941">
        <v>0</v>
      </c>
      <c r="M130" s="940"/>
    </row>
    <row r="131" spans="1:13" ht="22.5">
      <c r="A131" s="932"/>
      <c r="B131" s="938" t="s">
        <v>601</v>
      </c>
      <c r="C131" s="933"/>
      <c r="D131" s="945" t="s">
        <v>602</v>
      </c>
      <c r="E131" s="950">
        <f>E132+E133+E134+E135+E136+E137+E138+E139+E140+E141+E142+E143+E144+E145+E146+E147+E148</f>
        <v>1002810</v>
      </c>
      <c r="F131" s="954">
        <f aca="true" t="shared" si="26" ref="F131:L131">F132+F133+F134+F135+F136+F137+F138+F139+F140+F141+F142+F143+F144+F145+F146+F147+F148</f>
        <v>-18450.999999999993</v>
      </c>
      <c r="G131" s="947">
        <f t="shared" si="26"/>
        <v>984359</v>
      </c>
      <c r="H131" s="950">
        <f t="shared" si="26"/>
        <v>975377.3599999999</v>
      </c>
      <c r="I131" s="954">
        <f t="shared" si="26"/>
        <v>0</v>
      </c>
      <c r="J131" s="959">
        <f t="shared" si="18"/>
        <v>0.9908756459787535</v>
      </c>
      <c r="K131" s="954">
        <f t="shared" si="26"/>
        <v>64064.93</v>
      </c>
      <c r="L131" s="1439">
        <f t="shared" si="26"/>
        <v>0</v>
      </c>
      <c r="M131" s="940"/>
    </row>
    <row r="132" spans="1:13" ht="22.5">
      <c r="A132" s="935"/>
      <c r="B132" s="935"/>
      <c r="C132" s="936" t="s">
        <v>576</v>
      </c>
      <c r="D132" s="946" t="s">
        <v>577</v>
      </c>
      <c r="E132" s="951">
        <v>1350</v>
      </c>
      <c r="F132" s="955">
        <f>G132-E132</f>
        <v>0</v>
      </c>
      <c r="G132" s="949">
        <v>1350</v>
      </c>
      <c r="H132" s="958">
        <v>1318.33</v>
      </c>
      <c r="I132" s="941">
        <v>0</v>
      </c>
      <c r="J132" s="1250">
        <f t="shared" si="18"/>
        <v>0.9765407407407407</v>
      </c>
      <c r="K132" s="941">
        <v>0</v>
      </c>
      <c r="L132" s="941">
        <v>0</v>
      </c>
      <c r="M132" s="940"/>
    </row>
    <row r="133" spans="1:13" ht="22.5">
      <c r="A133" s="935"/>
      <c r="B133" s="935"/>
      <c r="C133" s="936" t="s">
        <v>543</v>
      </c>
      <c r="D133" s="946" t="s">
        <v>12</v>
      </c>
      <c r="E133" s="951">
        <v>660000</v>
      </c>
      <c r="F133" s="955">
        <f aca="true" t="shared" si="27" ref="F133:F148">G133-E133</f>
        <v>-3000</v>
      </c>
      <c r="G133" s="949">
        <v>657000</v>
      </c>
      <c r="H133" s="958">
        <v>651765.09</v>
      </c>
      <c r="I133" s="941">
        <v>0</v>
      </c>
      <c r="J133" s="1250">
        <f t="shared" si="18"/>
        <v>0.9920321004566209</v>
      </c>
      <c r="K133" s="941">
        <v>0</v>
      </c>
      <c r="L133" s="941">
        <v>0</v>
      </c>
      <c r="M133" s="940"/>
    </row>
    <row r="134" spans="1:13" ht="12.75">
      <c r="A134" s="935"/>
      <c r="B134" s="935"/>
      <c r="C134" s="936" t="s">
        <v>578</v>
      </c>
      <c r="D134" s="946" t="s">
        <v>579</v>
      </c>
      <c r="E134" s="951">
        <v>45310</v>
      </c>
      <c r="F134" s="955">
        <f t="shared" si="27"/>
        <v>-1598.3499999999985</v>
      </c>
      <c r="G134" s="949">
        <v>43711.65</v>
      </c>
      <c r="H134" s="958">
        <v>43711.65</v>
      </c>
      <c r="I134" s="941">
        <v>0</v>
      </c>
      <c r="J134" s="1250">
        <f t="shared" si="18"/>
        <v>1</v>
      </c>
      <c r="K134" s="941">
        <v>48626.95</v>
      </c>
      <c r="L134" s="941">
        <v>0</v>
      </c>
      <c r="M134" s="940"/>
    </row>
    <row r="135" spans="1:13" ht="12.75">
      <c r="A135" s="935"/>
      <c r="B135" s="935"/>
      <c r="C135" s="936" t="s">
        <v>333</v>
      </c>
      <c r="D135" s="946" t="s">
        <v>13</v>
      </c>
      <c r="E135" s="951">
        <v>105803</v>
      </c>
      <c r="F135" s="955">
        <f t="shared" si="27"/>
        <v>9298.350000000006</v>
      </c>
      <c r="G135" s="949">
        <v>115101.35</v>
      </c>
      <c r="H135" s="958">
        <v>115101.35</v>
      </c>
      <c r="I135" s="941">
        <v>0</v>
      </c>
      <c r="J135" s="1250">
        <f t="shared" si="18"/>
        <v>1</v>
      </c>
      <c r="K135" s="941">
        <v>14398.8</v>
      </c>
      <c r="L135" s="941">
        <v>0</v>
      </c>
      <c r="M135" s="940"/>
    </row>
    <row r="136" spans="1:13" ht="33.75">
      <c r="A136" s="935"/>
      <c r="B136" s="935"/>
      <c r="C136" s="936" t="s">
        <v>334</v>
      </c>
      <c r="D136" s="1266" t="s">
        <v>875</v>
      </c>
      <c r="E136" s="951">
        <v>15311</v>
      </c>
      <c r="F136" s="955">
        <f t="shared" si="27"/>
        <v>-4700</v>
      </c>
      <c r="G136" s="949">
        <v>10611</v>
      </c>
      <c r="H136" s="958">
        <v>10611</v>
      </c>
      <c r="I136" s="941">
        <v>0</v>
      </c>
      <c r="J136" s="1250">
        <f t="shared" si="18"/>
        <v>1</v>
      </c>
      <c r="K136" s="941">
        <v>1039.18</v>
      </c>
      <c r="L136" s="941">
        <v>0</v>
      </c>
      <c r="M136" s="940"/>
    </row>
    <row r="137" spans="1:13" ht="12.75">
      <c r="A137" s="935"/>
      <c r="B137" s="935"/>
      <c r="C137" s="936" t="s">
        <v>331</v>
      </c>
      <c r="D137" s="946" t="s">
        <v>28</v>
      </c>
      <c r="E137" s="951">
        <v>3000</v>
      </c>
      <c r="F137" s="955">
        <f t="shared" si="27"/>
        <v>0</v>
      </c>
      <c r="G137" s="949">
        <v>3000</v>
      </c>
      <c r="H137" s="958">
        <v>3000</v>
      </c>
      <c r="I137" s="941">
        <v>0</v>
      </c>
      <c r="J137" s="1250">
        <f t="shared" si="18"/>
        <v>1</v>
      </c>
      <c r="K137" s="941">
        <v>0</v>
      </c>
      <c r="L137" s="941">
        <v>0</v>
      </c>
      <c r="M137" s="940"/>
    </row>
    <row r="138" spans="1:13" ht="12.75">
      <c r="A138" s="935"/>
      <c r="B138" s="935"/>
      <c r="C138" s="936" t="s">
        <v>324</v>
      </c>
      <c r="D138" s="946" t="s">
        <v>15</v>
      </c>
      <c r="E138" s="951">
        <v>35000</v>
      </c>
      <c r="F138" s="955">
        <f t="shared" si="27"/>
        <v>6770</v>
      </c>
      <c r="G138" s="949">
        <v>41770</v>
      </c>
      <c r="H138" s="958">
        <v>41731.62</v>
      </c>
      <c r="I138" s="941">
        <v>0</v>
      </c>
      <c r="J138" s="1250">
        <f t="shared" si="18"/>
        <v>0.9990811587263587</v>
      </c>
      <c r="K138" s="941">
        <v>0</v>
      </c>
      <c r="L138" s="941">
        <v>0</v>
      </c>
      <c r="M138" s="940"/>
    </row>
    <row r="139" spans="1:13" ht="12.75">
      <c r="A139" s="935"/>
      <c r="B139" s="935"/>
      <c r="C139" s="936" t="s">
        <v>546</v>
      </c>
      <c r="D139" s="946" t="s">
        <v>37</v>
      </c>
      <c r="E139" s="951">
        <v>5000</v>
      </c>
      <c r="F139" s="955">
        <f t="shared" si="27"/>
        <v>-1500</v>
      </c>
      <c r="G139" s="949">
        <v>3500</v>
      </c>
      <c r="H139" s="958">
        <v>2796.65</v>
      </c>
      <c r="I139" s="941">
        <v>0</v>
      </c>
      <c r="J139" s="1250">
        <f t="shared" si="18"/>
        <v>0.7990428571428572</v>
      </c>
      <c r="K139" s="941">
        <v>0</v>
      </c>
      <c r="L139" s="941">
        <v>0</v>
      </c>
      <c r="M139" s="940"/>
    </row>
    <row r="140" spans="1:13" ht="12.75">
      <c r="A140" s="935"/>
      <c r="B140" s="935"/>
      <c r="C140" s="936" t="s">
        <v>552</v>
      </c>
      <c r="D140" s="946" t="s">
        <v>74</v>
      </c>
      <c r="E140" s="951">
        <v>20000</v>
      </c>
      <c r="F140" s="955">
        <f t="shared" si="27"/>
        <v>-20000</v>
      </c>
      <c r="G140" s="949">
        <v>0</v>
      </c>
      <c r="H140" s="958">
        <v>0</v>
      </c>
      <c r="I140" s="941">
        <v>0</v>
      </c>
      <c r="J140" s="1250">
        <v>0</v>
      </c>
      <c r="K140" s="941">
        <v>0</v>
      </c>
      <c r="L140" s="941">
        <v>0</v>
      </c>
      <c r="M140" s="940"/>
    </row>
    <row r="141" spans="1:13" ht="12.75">
      <c r="A141" s="935"/>
      <c r="B141" s="935"/>
      <c r="C141" s="936" t="s">
        <v>592</v>
      </c>
      <c r="D141" s="946" t="s">
        <v>38</v>
      </c>
      <c r="E141" s="951">
        <v>2000</v>
      </c>
      <c r="F141" s="955">
        <f t="shared" si="27"/>
        <v>-1770</v>
      </c>
      <c r="G141" s="949">
        <v>230</v>
      </c>
      <c r="H141" s="958">
        <v>230</v>
      </c>
      <c r="I141" s="941">
        <v>0</v>
      </c>
      <c r="J141" s="1250">
        <f t="shared" si="18"/>
        <v>1</v>
      </c>
      <c r="K141" s="941">
        <v>0</v>
      </c>
      <c r="L141" s="941">
        <v>0</v>
      </c>
      <c r="M141" s="940"/>
    </row>
    <row r="142" spans="1:13" ht="12.75">
      <c r="A142" s="935"/>
      <c r="B142" s="935"/>
      <c r="C142" s="936" t="s">
        <v>325</v>
      </c>
      <c r="D142" s="946" t="s">
        <v>16</v>
      </c>
      <c r="E142" s="951">
        <v>45000</v>
      </c>
      <c r="F142" s="955">
        <f t="shared" si="27"/>
        <v>-1453</v>
      </c>
      <c r="G142" s="949">
        <v>43547</v>
      </c>
      <c r="H142" s="958">
        <v>41112.08</v>
      </c>
      <c r="I142" s="941">
        <v>0</v>
      </c>
      <c r="J142" s="1250">
        <f t="shared" si="18"/>
        <v>0.9440852412336097</v>
      </c>
      <c r="K142" s="941">
        <v>0</v>
      </c>
      <c r="L142" s="941">
        <v>0</v>
      </c>
      <c r="M142" s="940"/>
    </row>
    <row r="143" spans="1:13" ht="22.5">
      <c r="A143" s="935"/>
      <c r="B143" s="935"/>
      <c r="C143" s="936" t="s">
        <v>335</v>
      </c>
      <c r="D143" s="946" t="s">
        <v>553</v>
      </c>
      <c r="E143" s="951">
        <v>3100</v>
      </c>
      <c r="F143" s="955">
        <f t="shared" si="27"/>
        <v>0</v>
      </c>
      <c r="G143" s="949">
        <v>3100</v>
      </c>
      <c r="H143" s="958">
        <v>2881.97</v>
      </c>
      <c r="I143" s="941">
        <v>0</v>
      </c>
      <c r="J143" s="1250">
        <f t="shared" si="18"/>
        <v>0.9296677419354838</v>
      </c>
      <c r="K143" s="941">
        <v>0</v>
      </c>
      <c r="L143" s="941">
        <v>0</v>
      </c>
      <c r="M143" s="940"/>
    </row>
    <row r="144" spans="1:13" ht="22.5">
      <c r="A144" s="935"/>
      <c r="B144" s="935"/>
      <c r="C144" s="936" t="s">
        <v>595</v>
      </c>
      <c r="D144" s="946" t="s">
        <v>596</v>
      </c>
      <c r="E144" s="951">
        <v>36000</v>
      </c>
      <c r="F144" s="955">
        <f t="shared" si="27"/>
        <v>0</v>
      </c>
      <c r="G144" s="949">
        <v>36000</v>
      </c>
      <c r="H144" s="958">
        <v>36000</v>
      </c>
      <c r="I144" s="941">
        <v>0</v>
      </c>
      <c r="J144" s="1250">
        <f t="shared" si="18"/>
        <v>1</v>
      </c>
      <c r="K144" s="941">
        <v>0</v>
      </c>
      <c r="L144" s="941">
        <v>0</v>
      </c>
      <c r="M144" s="940"/>
    </row>
    <row r="145" spans="1:13" ht="12.75">
      <c r="A145" s="935"/>
      <c r="B145" s="935"/>
      <c r="C145" s="936" t="s">
        <v>597</v>
      </c>
      <c r="D145" s="946" t="s">
        <v>22</v>
      </c>
      <c r="E145" s="951">
        <v>5000</v>
      </c>
      <c r="F145" s="955">
        <f t="shared" si="27"/>
        <v>-2000</v>
      </c>
      <c r="G145" s="949" t="s">
        <v>603</v>
      </c>
      <c r="H145" s="958">
        <v>2771.83</v>
      </c>
      <c r="I145" s="941">
        <v>0</v>
      </c>
      <c r="J145" s="1250">
        <f aca="true" t="shared" si="28" ref="J145:J218">H145/G145</f>
        <v>0.9239433333333333</v>
      </c>
      <c r="K145" s="941">
        <v>0</v>
      </c>
      <c r="L145" s="941">
        <v>0</v>
      </c>
      <c r="M145" s="940"/>
    </row>
    <row r="146" spans="1:13" ht="12.75">
      <c r="A146" s="935"/>
      <c r="B146" s="935"/>
      <c r="C146" s="936" t="s">
        <v>544</v>
      </c>
      <c r="D146" s="946" t="s">
        <v>17</v>
      </c>
      <c r="E146" s="951">
        <v>300</v>
      </c>
      <c r="F146" s="955">
        <f t="shared" si="27"/>
        <v>0</v>
      </c>
      <c r="G146" s="949">
        <v>300</v>
      </c>
      <c r="H146" s="958">
        <v>226.5</v>
      </c>
      <c r="I146" s="941">
        <v>0</v>
      </c>
      <c r="J146" s="1250">
        <f t="shared" si="28"/>
        <v>0.755</v>
      </c>
      <c r="K146" s="941">
        <v>0</v>
      </c>
      <c r="L146" s="941">
        <v>0</v>
      </c>
      <c r="M146" s="940"/>
    </row>
    <row r="147" spans="1:13" ht="22.5">
      <c r="A147" s="935"/>
      <c r="B147" s="935"/>
      <c r="C147" s="936" t="s">
        <v>598</v>
      </c>
      <c r="D147" s="946" t="s">
        <v>40</v>
      </c>
      <c r="E147" s="951">
        <v>13636</v>
      </c>
      <c r="F147" s="955">
        <f t="shared" si="27"/>
        <v>502</v>
      </c>
      <c r="G147" s="949">
        <v>14138</v>
      </c>
      <c r="H147" s="958">
        <v>14138</v>
      </c>
      <c r="I147" s="941">
        <v>0</v>
      </c>
      <c r="J147" s="1250">
        <f t="shared" si="28"/>
        <v>1</v>
      </c>
      <c r="K147" s="941">
        <v>0</v>
      </c>
      <c r="L147" s="941">
        <v>0</v>
      </c>
      <c r="M147" s="940"/>
    </row>
    <row r="148" spans="1:13" ht="22.5">
      <c r="A148" s="935"/>
      <c r="B148" s="935"/>
      <c r="C148" s="936" t="s">
        <v>580</v>
      </c>
      <c r="D148" s="946" t="s">
        <v>581</v>
      </c>
      <c r="E148" s="951">
        <v>7000</v>
      </c>
      <c r="F148" s="955">
        <f t="shared" si="27"/>
        <v>1000</v>
      </c>
      <c r="G148" s="949">
        <v>8000</v>
      </c>
      <c r="H148" s="958">
        <v>7981.29</v>
      </c>
      <c r="I148" s="941">
        <v>0</v>
      </c>
      <c r="J148" s="1250">
        <f t="shared" si="28"/>
        <v>0.9976612499999999</v>
      </c>
      <c r="K148" s="941">
        <v>0</v>
      </c>
      <c r="L148" s="941">
        <v>0</v>
      </c>
      <c r="M148" s="940"/>
    </row>
    <row r="149" spans="1:13" ht="15">
      <c r="A149" s="932"/>
      <c r="B149" s="938" t="s">
        <v>604</v>
      </c>
      <c r="C149" s="933"/>
      <c r="D149" s="945" t="s">
        <v>10</v>
      </c>
      <c r="E149" s="950">
        <f>E150+E151+E152</f>
        <v>203036</v>
      </c>
      <c r="F149" s="954">
        <f aca="true" t="shared" si="29" ref="F149:L149">F150+F151+F152</f>
        <v>40179.119999999995</v>
      </c>
      <c r="G149" s="947">
        <f t="shared" si="29"/>
        <v>243215.12</v>
      </c>
      <c r="H149" s="950">
        <f t="shared" si="29"/>
        <v>225204.19</v>
      </c>
      <c r="I149" s="954">
        <f t="shared" si="29"/>
        <v>0</v>
      </c>
      <c r="J149" s="959">
        <f t="shared" si="28"/>
        <v>0.9259465036548715</v>
      </c>
      <c r="K149" s="954">
        <f t="shared" si="29"/>
        <v>0</v>
      </c>
      <c r="L149" s="1439">
        <f t="shared" si="29"/>
        <v>0</v>
      </c>
      <c r="M149" s="940"/>
    </row>
    <row r="150" spans="1:13" ht="22.5">
      <c r="A150" s="935"/>
      <c r="B150" s="935"/>
      <c r="C150" s="936" t="s">
        <v>583</v>
      </c>
      <c r="D150" s="946" t="s">
        <v>584</v>
      </c>
      <c r="E150" s="951">
        <v>119016</v>
      </c>
      <c r="F150" s="955">
        <f>G150-E150</f>
        <v>2179.1199999999953</v>
      </c>
      <c r="G150" s="949">
        <v>121195.12</v>
      </c>
      <c r="H150" s="958">
        <v>121195.12</v>
      </c>
      <c r="I150" s="941">
        <v>0</v>
      </c>
      <c r="J150" s="1250">
        <f t="shared" si="28"/>
        <v>1</v>
      </c>
      <c r="K150" s="941">
        <v>0</v>
      </c>
      <c r="L150" s="941">
        <v>0</v>
      </c>
      <c r="M150" s="940"/>
    </row>
    <row r="151" spans="1:13" ht="12.75">
      <c r="A151" s="935"/>
      <c r="B151" s="935"/>
      <c r="C151" s="936" t="s">
        <v>605</v>
      </c>
      <c r="D151" s="946" t="s">
        <v>606</v>
      </c>
      <c r="E151" s="951">
        <v>3000</v>
      </c>
      <c r="F151" s="955">
        <f>G151-E151</f>
        <v>0</v>
      </c>
      <c r="G151" s="949" t="s">
        <v>603</v>
      </c>
      <c r="H151" s="958">
        <v>1494</v>
      </c>
      <c r="I151" s="941">
        <v>0</v>
      </c>
      <c r="J151" s="1250">
        <f t="shared" si="28"/>
        <v>0.498</v>
      </c>
      <c r="K151" s="941">
        <v>0</v>
      </c>
      <c r="L151" s="941">
        <v>0</v>
      </c>
      <c r="M151" s="940"/>
    </row>
    <row r="152" spans="1:13" ht="12.75">
      <c r="A152" s="935"/>
      <c r="B152" s="935"/>
      <c r="C152" s="936" t="s">
        <v>544</v>
      </c>
      <c r="D152" s="946" t="s">
        <v>17</v>
      </c>
      <c r="E152" s="951">
        <v>81020</v>
      </c>
      <c r="F152" s="955">
        <f>G152-E152</f>
        <v>38000</v>
      </c>
      <c r="G152" s="949">
        <v>119020</v>
      </c>
      <c r="H152" s="958">
        <v>102515.07</v>
      </c>
      <c r="I152" s="941">
        <v>0</v>
      </c>
      <c r="J152" s="1250">
        <f t="shared" si="28"/>
        <v>0.861326415728449</v>
      </c>
      <c r="K152" s="941">
        <v>0</v>
      </c>
      <c r="L152" s="941">
        <v>0</v>
      </c>
      <c r="M152" s="940"/>
    </row>
    <row r="153" spans="1:13" ht="33.75">
      <c r="A153" s="965" t="s">
        <v>406</v>
      </c>
      <c r="B153" s="965"/>
      <c r="C153" s="965"/>
      <c r="D153" s="966" t="s">
        <v>407</v>
      </c>
      <c r="E153" s="967">
        <f>E154+E158+E167</f>
        <v>3517.0000000000005</v>
      </c>
      <c r="F153" s="967">
        <f>F154+F158+F167</f>
        <v>152415</v>
      </c>
      <c r="G153" s="967">
        <f>G154+G158+G167</f>
        <v>155932</v>
      </c>
      <c r="H153" s="967">
        <f>H154+H158+H167</f>
        <v>155932</v>
      </c>
      <c r="I153" s="967">
        <f>I154+I158+I167</f>
        <v>0</v>
      </c>
      <c r="J153" s="964">
        <f t="shared" si="28"/>
        <v>1</v>
      </c>
      <c r="K153" s="963">
        <f>K154+K158+K167</f>
        <v>0</v>
      </c>
      <c r="L153" s="963">
        <f>L154+L158+L167</f>
        <v>0</v>
      </c>
      <c r="M153" s="940"/>
    </row>
    <row r="154" spans="1:13" ht="22.5">
      <c r="A154" s="932"/>
      <c r="B154" s="938" t="s">
        <v>408</v>
      </c>
      <c r="C154" s="933"/>
      <c r="D154" s="945" t="s">
        <v>409</v>
      </c>
      <c r="E154" s="950">
        <f>E155+E156+E157</f>
        <v>3517.0000000000005</v>
      </c>
      <c r="F154" s="954">
        <f aca="true" t="shared" si="30" ref="F154:L154">F155+F156+F157</f>
        <v>0</v>
      </c>
      <c r="G154" s="947">
        <f t="shared" si="30"/>
        <v>3517.0000000000005</v>
      </c>
      <c r="H154" s="950">
        <f t="shared" si="30"/>
        <v>3517.0000000000005</v>
      </c>
      <c r="I154" s="954">
        <f t="shared" si="30"/>
        <v>0</v>
      </c>
      <c r="J154" s="959">
        <f t="shared" si="28"/>
        <v>1</v>
      </c>
      <c r="K154" s="954">
        <f t="shared" si="30"/>
        <v>0</v>
      </c>
      <c r="L154" s="1439">
        <f t="shared" si="30"/>
        <v>0</v>
      </c>
      <c r="M154" s="940"/>
    </row>
    <row r="155" spans="1:13" ht="22.5">
      <c r="A155" s="935"/>
      <c r="B155" s="935"/>
      <c r="C155" s="936" t="s">
        <v>543</v>
      </c>
      <c r="D155" s="946" t="s">
        <v>12</v>
      </c>
      <c r="E155" s="951">
        <v>2972.01</v>
      </c>
      <c r="F155" s="955">
        <f>G155-E155</f>
        <v>0</v>
      </c>
      <c r="G155" s="949">
        <v>2972.01</v>
      </c>
      <c r="H155" s="958">
        <v>2972.01</v>
      </c>
      <c r="I155" s="941">
        <v>0</v>
      </c>
      <c r="J155" s="1250">
        <f t="shared" si="28"/>
        <v>1</v>
      </c>
      <c r="K155" s="941">
        <v>0</v>
      </c>
      <c r="L155" s="941">
        <v>0</v>
      </c>
      <c r="M155" s="940"/>
    </row>
    <row r="156" spans="1:13" ht="12.75">
      <c r="A156" s="935"/>
      <c r="B156" s="935"/>
      <c r="C156" s="936" t="s">
        <v>333</v>
      </c>
      <c r="D156" s="946" t="s">
        <v>13</v>
      </c>
      <c r="E156" s="951">
        <v>508.21</v>
      </c>
      <c r="F156" s="955">
        <f>G156-E156</f>
        <v>0</v>
      </c>
      <c r="G156" s="949">
        <v>508.21</v>
      </c>
      <c r="H156" s="958">
        <v>508.21</v>
      </c>
      <c r="I156" s="941">
        <v>0</v>
      </c>
      <c r="J156" s="1250">
        <f t="shared" si="28"/>
        <v>1</v>
      </c>
      <c r="K156" s="941">
        <v>0</v>
      </c>
      <c r="L156" s="941">
        <v>0</v>
      </c>
      <c r="M156" s="940"/>
    </row>
    <row r="157" spans="1:13" ht="33.75">
      <c r="A157" s="935"/>
      <c r="B157" s="935"/>
      <c r="C157" s="936" t="s">
        <v>334</v>
      </c>
      <c r="D157" s="1266" t="s">
        <v>875</v>
      </c>
      <c r="E157" s="951">
        <v>36.78</v>
      </c>
      <c r="F157" s="955">
        <f>G157-E157</f>
        <v>0</v>
      </c>
      <c r="G157" s="949">
        <v>36.78</v>
      </c>
      <c r="H157" s="958">
        <v>36.78</v>
      </c>
      <c r="I157" s="941">
        <v>0</v>
      </c>
      <c r="J157" s="1250">
        <f t="shared" si="28"/>
        <v>1</v>
      </c>
      <c r="K157" s="941">
        <v>0</v>
      </c>
      <c r="L157" s="941">
        <v>0</v>
      </c>
      <c r="M157" s="940"/>
    </row>
    <row r="158" spans="1:13" ht="15">
      <c r="A158" s="932"/>
      <c r="B158" s="992" t="s">
        <v>849</v>
      </c>
      <c r="C158" s="933"/>
      <c r="D158" s="1529" t="s">
        <v>874</v>
      </c>
      <c r="E158" s="950">
        <f>E159+E160+E161+E162+E163+E164+E165+E166</f>
        <v>0</v>
      </c>
      <c r="F158" s="954">
        <f aca="true" t="shared" si="31" ref="F158:L158">F159+F160+F161+F162+F163+F164+F165+F166</f>
        <v>76450</v>
      </c>
      <c r="G158" s="947">
        <f t="shared" si="31"/>
        <v>76450</v>
      </c>
      <c r="H158" s="950">
        <f t="shared" si="31"/>
        <v>76450</v>
      </c>
      <c r="I158" s="954">
        <f t="shared" si="31"/>
        <v>0</v>
      </c>
      <c r="J158" s="959">
        <f t="shared" si="28"/>
        <v>1</v>
      </c>
      <c r="K158" s="954">
        <f t="shared" si="31"/>
        <v>0</v>
      </c>
      <c r="L158" s="1439">
        <f t="shared" si="31"/>
        <v>0</v>
      </c>
      <c r="M158" s="940"/>
    </row>
    <row r="159" spans="1:13" ht="22.5">
      <c r="A159" s="935"/>
      <c r="B159" s="935"/>
      <c r="C159" s="936" t="s">
        <v>583</v>
      </c>
      <c r="D159" s="1266" t="s">
        <v>584</v>
      </c>
      <c r="E159" s="951">
        <v>0</v>
      </c>
      <c r="F159" s="955">
        <f>G159-E159</f>
        <v>48150</v>
      </c>
      <c r="G159" s="949">
        <v>48150</v>
      </c>
      <c r="H159" s="958">
        <v>48150</v>
      </c>
      <c r="I159" s="941">
        <v>0</v>
      </c>
      <c r="J159" s="1250">
        <f t="shared" si="28"/>
        <v>1</v>
      </c>
      <c r="K159" s="941">
        <v>0</v>
      </c>
      <c r="L159" s="941">
        <v>0</v>
      </c>
      <c r="M159" s="940"/>
    </row>
    <row r="160" spans="1:13" ht="12.75">
      <c r="A160" s="935"/>
      <c r="B160" s="935"/>
      <c r="C160" s="936" t="s">
        <v>333</v>
      </c>
      <c r="D160" s="1266" t="s">
        <v>13</v>
      </c>
      <c r="E160" s="951">
        <v>0</v>
      </c>
      <c r="F160" s="955">
        <f aca="true" t="shared" si="32" ref="F160:F166">G160-E160</f>
        <v>2523.96</v>
      </c>
      <c r="G160" s="949">
        <v>2523.96</v>
      </c>
      <c r="H160" s="958">
        <v>2523.96</v>
      </c>
      <c r="I160" s="941">
        <v>0</v>
      </c>
      <c r="J160" s="1250">
        <f t="shared" si="28"/>
        <v>1</v>
      </c>
      <c r="K160" s="941">
        <v>0</v>
      </c>
      <c r="L160" s="941">
        <v>0</v>
      </c>
      <c r="M160" s="940"/>
    </row>
    <row r="161" spans="1:13" ht="33.75">
      <c r="A161" s="935"/>
      <c r="B161" s="935"/>
      <c r="C161" s="936" t="s">
        <v>334</v>
      </c>
      <c r="D161" s="1266" t="s">
        <v>875</v>
      </c>
      <c r="E161" s="951">
        <v>0</v>
      </c>
      <c r="F161" s="955">
        <f t="shared" si="32"/>
        <v>269.78</v>
      </c>
      <c r="G161" s="949">
        <v>269.78</v>
      </c>
      <c r="H161" s="958">
        <v>269.78</v>
      </c>
      <c r="I161" s="941">
        <v>0</v>
      </c>
      <c r="J161" s="1250">
        <f t="shared" si="28"/>
        <v>1</v>
      </c>
      <c r="K161" s="941">
        <v>0</v>
      </c>
      <c r="L161" s="941">
        <v>0</v>
      </c>
      <c r="M161" s="940"/>
    </row>
    <row r="162" spans="1:13" ht="12.75">
      <c r="A162" s="935"/>
      <c r="B162" s="935"/>
      <c r="C162" s="936" t="s">
        <v>331</v>
      </c>
      <c r="D162" s="946" t="s">
        <v>28</v>
      </c>
      <c r="E162" s="951">
        <v>0</v>
      </c>
      <c r="F162" s="955">
        <f t="shared" si="32"/>
        <v>18000</v>
      </c>
      <c r="G162" s="949">
        <v>18000</v>
      </c>
      <c r="H162" s="958">
        <v>18000</v>
      </c>
      <c r="I162" s="941">
        <v>0</v>
      </c>
      <c r="J162" s="1250">
        <f t="shared" si="28"/>
        <v>1</v>
      </c>
      <c r="K162" s="941">
        <v>0</v>
      </c>
      <c r="L162" s="941">
        <v>0</v>
      </c>
      <c r="M162" s="940"/>
    </row>
    <row r="163" spans="1:13" ht="12.75">
      <c r="A163" s="935"/>
      <c r="B163" s="935"/>
      <c r="C163" s="936" t="s">
        <v>324</v>
      </c>
      <c r="D163" s="1266" t="s">
        <v>15</v>
      </c>
      <c r="E163" s="951">
        <v>0</v>
      </c>
      <c r="F163" s="955">
        <f t="shared" si="32"/>
        <v>6459.88</v>
      </c>
      <c r="G163" s="949">
        <v>6459.88</v>
      </c>
      <c r="H163" s="958">
        <v>6459.88</v>
      </c>
      <c r="I163" s="941">
        <v>0</v>
      </c>
      <c r="J163" s="1250">
        <f t="shared" si="28"/>
        <v>1</v>
      </c>
      <c r="K163" s="941">
        <v>0</v>
      </c>
      <c r="L163" s="941">
        <v>0</v>
      </c>
      <c r="M163" s="940"/>
    </row>
    <row r="164" spans="1:13" ht="12.75">
      <c r="A164" s="935"/>
      <c r="B164" s="935"/>
      <c r="C164" s="936" t="s">
        <v>546</v>
      </c>
      <c r="D164" s="946" t="s">
        <v>37</v>
      </c>
      <c r="E164" s="951">
        <v>0</v>
      </c>
      <c r="F164" s="955">
        <f t="shared" si="32"/>
        <v>55.77</v>
      </c>
      <c r="G164" s="949">
        <v>55.77</v>
      </c>
      <c r="H164" s="958">
        <v>55.77</v>
      </c>
      <c r="I164" s="941">
        <v>0</v>
      </c>
      <c r="J164" s="1250">
        <f t="shared" si="28"/>
        <v>1</v>
      </c>
      <c r="K164" s="941">
        <v>0</v>
      </c>
      <c r="L164" s="941">
        <v>0</v>
      </c>
      <c r="M164" s="940"/>
    </row>
    <row r="165" spans="1:13" ht="12.75">
      <c r="A165" s="935"/>
      <c r="B165" s="935"/>
      <c r="C165" s="936" t="s">
        <v>325</v>
      </c>
      <c r="D165" s="946" t="s">
        <v>16</v>
      </c>
      <c r="E165" s="951">
        <v>0</v>
      </c>
      <c r="F165" s="955">
        <f t="shared" si="32"/>
        <v>250</v>
      </c>
      <c r="G165" s="949">
        <v>250</v>
      </c>
      <c r="H165" s="958">
        <v>250</v>
      </c>
      <c r="I165" s="941">
        <v>0</v>
      </c>
      <c r="J165" s="1250">
        <f t="shared" si="28"/>
        <v>1</v>
      </c>
      <c r="K165" s="941">
        <v>0</v>
      </c>
      <c r="L165" s="941">
        <v>0</v>
      </c>
      <c r="M165" s="940"/>
    </row>
    <row r="166" spans="1:13" ht="12.75">
      <c r="A166" s="935"/>
      <c r="B166" s="935"/>
      <c r="C166" s="936" t="s">
        <v>597</v>
      </c>
      <c r="D166" s="946" t="s">
        <v>22</v>
      </c>
      <c r="E166" s="951">
        <v>0</v>
      </c>
      <c r="F166" s="955">
        <f t="shared" si="32"/>
        <v>740.61</v>
      </c>
      <c r="G166" s="949">
        <v>740.61</v>
      </c>
      <c r="H166" s="958">
        <v>740.61</v>
      </c>
      <c r="I166" s="941">
        <v>0</v>
      </c>
      <c r="J166" s="1250">
        <f t="shared" si="28"/>
        <v>1</v>
      </c>
      <c r="K166" s="941">
        <v>0</v>
      </c>
      <c r="L166" s="941">
        <v>0</v>
      </c>
      <c r="M166" s="940"/>
    </row>
    <row r="167" spans="1:13" ht="15">
      <c r="A167" s="935"/>
      <c r="B167" s="992" t="s">
        <v>850</v>
      </c>
      <c r="C167" s="933"/>
      <c r="D167" s="1486" t="s">
        <v>851</v>
      </c>
      <c r="E167" s="1519">
        <f>E168+E169+E170+E171+E172+E173+E174+E175</f>
        <v>0</v>
      </c>
      <c r="F167" s="1519">
        <f>F168+F169+F170+F171+F172+F173+F174+F175</f>
        <v>75965</v>
      </c>
      <c r="G167" s="1519">
        <f>G168+G169+G170+G171+G172+G173+G174+G175</f>
        <v>75965</v>
      </c>
      <c r="H167" s="1519">
        <f>H168+H169+H170+H171+H172+H173+H174+H175</f>
        <v>75965</v>
      </c>
      <c r="I167" s="1519">
        <f>I168+I169+I170+I171+I172+I173+I174+I175</f>
        <v>0</v>
      </c>
      <c r="J167" s="1533">
        <f aca="true" t="shared" si="33" ref="J167:J175">H167/G167</f>
        <v>1</v>
      </c>
      <c r="K167" s="1520">
        <f>K168+K169+K170+K171+K172+K173+K174+K175</f>
        <v>0</v>
      </c>
      <c r="L167" s="1520">
        <f>L168+L169+L170+L171+L172+L173+L174+L175</f>
        <v>0</v>
      </c>
      <c r="M167" s="940"/>
    </row>
    <row r="168" spans="1:13" ht="22.5">
      <c r="A168" s="935"/>
      <c r="B168" s="935"/>
      <c r="C168" s="984" t="s">
        <v>583</v>
      </c>
      <c r="D168" s="1266" t="s">
        <v>584</v>
      </c>
      <c r="E168" s="951">
        <v>0</v>
      </c>
      <c r="F168" s="955">
        <f>G168-E168</f>
        <v>48850</v>
      </c>
      <c r="G168" s="955">
        <v>48850</v>
      </c>
      <c r="H168" s="941">
        <v>48850</v>
      </c>
      <c r="I168" s="941">
        <v>0</v>
      </c>
      <c r="J168" s="1250">
        <f t="shared" si="33"/>
        <v>1</v>
      </c>
      <c r="K168" s="941">
        <v>0</v>
      </c>
      <c r="L168" s="941">
        <v>0</v>
      </c>
      <c r="M168" s="940"/>
    </row>
    <row r="169" spans="1:13" ht="12.75">
      <c r="A169" s="935"/>
      <c r="B169" s="935"/>
      <c r="C169" s="984" t="s">
        <v>333</v>
      </c>
      <c r="D169" s="1266" t="s">
        <v>13</v>
      </c>
      <c r="E169" s="951">
        <v>0</v>
      </c>
      <c r="F169" s="955">
        <f aca="true" t="shared" si="34" ref="F169:F175">G169-E169</f>
        <v>2214.45</v>
      </c>
      <c r="G169" s="955">
        <v>2214.45</v>
      </c>
      <c r="H169" s="941">
        <v>2214.45</v>
      </c>
      <c r="I169" s="941">
        <v>0</v>
      </c>
      <c r="J169" s="1250">
        <f t="shared" si="33"/>
        <v>1</v>
      </c>
      <c r="K169" s="941">
        <v>0</v>
      </c>
      <c r="L169" s="941">
        <v>0</v>
      </c>
      <c r="M169" s="940"/>
    </row>
    <row r="170" spans="1:13" ht="33.75">
      <c r="A170" s="935"/>
      <c r="B170" s="935"/>
      <c r="C170" s="984" t="s">
        <v>334</v>
      </c>
      <c r="D170" s="1266" t="s">
        <v>875</v>
      </c>
      <c r="E170" s="951">
        <v>0</v>
      </c>
      <c r="F170" s="955">
        <f t="shared" si="34"/>
        <v>207.08</v>
      </c>
      <c r="G170" s="955">
        <v>207.08</v>
      </c>
      <c r="H170" s="941">
        <v>207.08</v>
      </c>
      <c r="I170" s="941">
        <v>0</v>
      </c>
      <c r="J170" s="1250">
        <f t="shared" si="33"/>
        <v>1</v>
      </c>
      <c r="K170" s="941">
        <v>0</v>
      </c>
      <c r="L170" s="941">
        <v>0</v>
      </c>
      <c r="M170" s="940"/>
    </row>
    <row r="171" spans="1:13" ht="12.75">
      <c r="A171" s="935"/>
      <c r="B171" s="935"/>
      <c r="C171" s="984" t="s">
        <v>331</v>
      </c>
      <c r="D171" s="946" t="s">
        <v>28</v>
      </c>
      <c r="E171" s="951">
        <v>0</v>
      </c>
      <c r="F171" s="955">
        <f t="shared" si="34"/>
        <v>16930</v>
      </c>
      <c r="G171" s="955">
        <v>16930</v>
      </c>
      <c r="H171" s="941">
        <v>16930</v>
      </c>
      <c r="I171" s="941">
        <v>0</v>
      </c>
      <c r="J171" s="1250">
        <f t="shared" si="33"/>
        <v>1</v>
      </c>
      <c r="K171" s="941">
        <v>0</v>
      </c>
      <c r="L171" s="941">
        <v>0</v>
      </c>
      <c r="M171" s="940"/>
    </row>
    <row r="172" spans="1:13" ht="12.75">
      <c r="A172" s="935"/>
      <c r="B172" s="935"/>
      <c r="C172" s="984" t="s">
        <v>324</v>
      </c>
      <c r="D172" s="1266" t="s">
        <v>15</v>
      </c>
      <c r="E172" s="951">
        <v>0</v>
      </c>
      <c r="F172" s="955">
        <f t="shared" si="34"/>
        <v>6445.82</v>
      </c>
      <c r="G172" s="955">
        <v>6445.82</v>
      </c>
      <c r="H172" s="941">
        <v>6445.82</v>
      </c>
      <c r="I172" s="941">
        <v>0</v>
      </c>
      <c r="J172" s="1250">
        <f t="shared" si="33"/>
        <v>1</v>
      </c>
      <c r="K172" s="941">
        <v>0</v>
      </c>
      <c r="L172" s="941">
        <v>0</v>
      </c>
      <c r="M172" s="940"/>
    </row>
    <row r="173" spans="1:13" ht="12.75">
      <c r="A173" s="935"/>
      <c r="B173" s="935"/>
      <c r="C173" s="984" t="s">
        <v>546</v>
      </c>
      <c r="D173" s="946" t="s">
        <v>37</v>
      </c>
      <c r="E173" s="951">
        <v>0</v>
      </c>
      <c r="F173" s="955">
        <f t="shared" si="34"/>
        <v>31.3</v>
      </c>
      <c r="G173" s="955">
        <v>31.3</v>
      </c>
      <c r="H173" s="941">
        <v>31.3</v>
      </c>
      <c r="I173" s="941">
        <v>0</v>
      </c>
      <c r="J173" s="1250">
        <f t="shared" si="33"/>
        <v>1</v>
      </c>
      <c r="K173" s="941">
        <v>0</v>
      </c>
      <c r="L173" s="941">
        <v>0</v>
      </c>
      <c r="M173" s="940"/>
    </row>
    <row r="174" spans="1:13" ht="12.75">
      <c r="A174" s="935"/>
      <c r="B174" s="935"/>
      <c r="C174" s="984" t="s">
        <v>325</v>
      </c>
      <c r="D174" s="946" t="s">
        <v>16</v>
      </c>
      <c r="E174" s="951">
        <v>0</v>
      </c>
      <c r="F174" s="955">
        <f t="shared" si="34"/>
        <v>925.09</v>
      </c>
      <c r="G174" s="955">
        <v>925.09</v>
      </c>
      <c r="H174" s="941">
        <v>925.09</v>
      </c>
      <c r="I174" s="941">
        <v>0</v>
      </c>
      <c r="J174" s="1250">
        <f t="shared" si="33"/>
        <v>1</v>
      </c>
      <c r="K174" s="941">
        <v>0</v>
      </c>
      <c r="L174" s="941">
        <v>0</v>
      </c>
      <c r="M174" s="940"/>
    </row>
    <row r="175" spans="1:13" ht="12.75">
      <c r="A175" s="935"/>
      <c r="B175" s="935"/>
      <c r="C175" s="984" t="s">
        <v>597</v>
      </c>
      <c r="D175" s="946" t="s">
        <v>22</v>
      </c>
      <c r="E175" s="951">
        <v>0</v>
      </c>
      <c r="F175" s="955">
        <f t="shared" si="34"/>
        <v>361.26</v>
      </c>
      <c r="G175" s="955">
        <v>361.26</v>
      </c>
      <c r="H175" s="941">
        <v>361.26</v>
      </c>
      <c r="I175" s="941">
        <v>0</v>
      </c>
      <c r="J175" s="1250">
        <f t="shared" si="33"/>
        <v>1</v>
      </c>
      <c r="K175" s="941">
        <v>0</v>
      </c>
      <c r="L175" s="941">
        <v>0</v>
      </c>
      <c r="M175" s="940"/>
    </row>
    <row r="176" spans="1:13" ht="22.5">
      <c r="A176" s="965" t="s">
        <v>162</v>
      </c>
      <c r="B176" s="965"/>
      <c r="C176" s="965"/>
      <c r="D176" s="966" t="s">
        <v>266</v>
      </c>
      <c r="E176" s="967">
        <f>E177+E180+E197+E202+E209</f>
        <v>628528.8200000001</v>
      </c>
      <c r="F176" s="963">
        <f aca="true" t="shared" si="35" ref="F176:L176">F177+F180+F197+F202+F209</f>
        <v>111319.18</v>
      </c>
      <c r="G176" s="1530">
        <f t="shared" si="35"/>
        <v>739848</v>
      </c>
      <c r="H176" s="962">
        <f t="shared" si="35"/>
        <v>693157.4700000001</v>
      </c>
      <c r="I176" s="1531">
        <f t="shared" si="35"/>
        <v>0</v>
      </c>
      <c r="J176" s="1532">
        <f t="shared" si="28"/>
        <v>0.9368917264086678</v>
      </c>
      <c r="K176" s="1531">
        <f t="shared" si="35"/>
        <v>7051.29</v>
      </c>
      <c r="L176" s="1438">
        <f t="shared" si="35"/>
        <v>29992.45</v>
      </c>
      <c r="M176" s="940"/>
    </row>
    <row r="177" spans="1:13" ht="22.5" hidden="1">
      <c r="A177" s="932"/>
      <c r="B177" s="938" t="s">
        <v>607</v>
      </c>
      <c r="C177" s="933"/>
      <c r="D177" s="945" t="s">
        <v>608</v>
      </c>
      <c r="E177" s="950">
        <f>E178+E179</f>
        <v>0</v>
      </c>
      <c r="F177" s="954">
        <f aca="true" t="shared" si="36" ref="F177:L177">F178+F179</f>
        <v>0</v>
      </c>
      <c r="G177" s="947">
        <f t="shared" si="36"/>
        <v>0</v>
      </c>
      <c r="H177" s="950">
        <f t="shared" si="36"/>
        <v>0</v>
      </c>
      <c r="I177" s="954">
        <f t="shared" si="36"/>
        <v>0</v>
      </c>
      <c r="J177" s="959">
        <v>0</v>
      </c>
      <c r="K177" s="954">
        <f t="shared" si="36"/>
        <v>0</v>
      </c>
      <c r="L177" s="1439">
        <f t="shared" si="36"/>
        <v>0</v>
      </c>
      <c r="M177" s="940"/>
    </row>
    <row r="178" spans="1:13" ht="22.5" hidden="1">
      <c r="A178" s="935"/>
      <c r="B178" s="935"/>
      <c r="C178" s="936" t="s">
        <v>609</v>
      </c>
      <c r="D178" s="946" t="s">
        <v>610</v>
      </c>
      <c r="E178" s="951">
        <v>0</v>
      </c>
      <c r="F178" s="955">
        <f>G178-E178</f>
        <v>0</v>
      </c>
      <c r="G178" s="949">
        <v>0</v>
      </c>
      <c r="H178" s="958">
        <v>0</v>
      </c>
      <c r="I178" s="941">
        <v>0</v>
      </c>
      <c r="J178" s="1250">
        <v>0</v>
      </c>
      <c r="K178" s="941">
        <v>0</v>
      </c>
      <c r="L178" s="941">
        <v>0</v>
      </c>
      <c r="M178" s="940"/>
    </row>
    <row r="179" spans="1:13" ht="33.75" hidden="1">
      <c r="A179" s="935"/>
      <c r="B179" s="935"/>
      <c r="C179" s="936" t="s">
        <v>611</v>
      </c>
      <c r="D179" s="946" t="s">
        <v>612</v>
      </c>
      <c r="E179" s="951">
        <v>0</v>
      </c>
      <c r="F179" s="955">
        <f>G179-E179</f>
        <v>0</v>
      </c>
      <c r="G179" s="949" t="s">
        <v>370</v>
      </c>
      <c r="H179" s="958">
        <v>0</v>
      </c>
      <c r="I179" s="941">
        <v>0</v>
      </c>
      <c r="J179" s="1250">
        <v>0</v>
      </c>
      <c r="K179" s="941">
        <v>0</v>
      </c>
      <c r="L179" s="941">
        <v>0</v>
      </c>
      <c r="M179" s="940"/>
    </row>
    <row r="180" spans="1:13" ht="15">
      <c r="A180" s="932"/>
      <c r="B180" s="938" t="s">
        <v>165</v>
      </c>
      <c r="C180" s="933"/>
      <c r="D180" s="945" t="s">
        <v>267</v>
      </c>
      <c r="E180" s="950">
        <f>E181+E182+E183+E184+E185+E186+E187+E188+E190+E191+E192+E193+E194+E195+E196+E189</f>
        <v>523528.82</v>
      </c>
      <c r="F180" s="950">
        <f>F181+F182+F183+F184+F185+F186+F187+F188+F190+F191+F192+F193+F194+F195+F196+F189</f>
        <v>2319.179999999993</v>
      </c>
      <c r="G180" s="950">
        <f>G181+G182+G183+G184+G185+G186+G187+G188+G190+G191+G192+G193+G194+G195+G196+G189</f>
        <v>525848</v>
      </c>
      <c r="H180" s="950">
        <f>H181+H182+H183+H184+H185+H186+H187+H188+H190+H191+H192+H193+H194+H195+H196+H189</f>
        <v>499811.34</v>
      </c>
      <c r="I180" s="950">
        <f>I181+I182+I183+I184+I185+I186+I187+I188+I190+I191+I192+I193+I194+I195+I196+I189</f>
        <v>0</v>
      </c>
      <c r="J180" s="959">
        <f t="shared" si="28"/>
        <v>0.9504863382574432</v>
      </c>
      <c r="K180" s="954">
        <f>K181+K182+K183+K184+K185+K186+K187+K188+K190+K191+K192+K193+K194+K195+K196</f>
        <v>6881.35</v>
      </c>
      <c r="L180" s="1439">
        <f>L181+L182+L183+L184+L185+L186+L187+L188+L190+L191+L192+L193+L194+L195+L196</f>
        <v>29992.45</v>
      </c>
      <c r="M180" s="940"/>
    </row>
    <row r="181" spans="1:13" ht="45">
      <c r="A181" s="935"/>
      <c r="B181" s="935"/>
      <c r="C181" s="936" t="s">
        <v>550</v>
      </c>
      <c r="D181" s="946" t="s">
        <v>265</v>
      </c>
      <c r="E181" s="951">
        <v>30000</v>
      </c>
      <c r="F181" s="955">
        <f>G181-E181</f>
        <v>0</v>
      </c>
      <c r="G181" s="949" t="s">
        <v>589</v>
      </c>
      <c r="H181" s="958">
        <v>30000</v>
      </c>
      <c r="I181" s="941">
        <v>0</v>
      </c>
      <c r="J181" s="1250">
        <f t="shared" si="28"/>
        <v>1</v>
      </c>
      <c r="K181" s="941">
        <v>0</v>
      </c>
      <c r="L181" s="941">
        <v>0</v>
      </c>
      <c r="M181" s="940"/>
    </row>
    <row r="182" spans="1:13" ht="22.5">
      <c r="A182" s="935"/>
      <c r="B182" s="935"/>
      <c r="C182" s="936" t="s">
        <v>583</v>
      </c>
      <c r="D182" s="946" t="s">
        <v>584</v>
      </c>
      <c r="E182" s="951">
        <v>60000</v>
      </c>
      <c r="F182" s="955">
        <f aca="true" t="shared" si="37" ref="F182:F196">G182-E182</f>
        <v>-4000</v>
      </c>
      <c r="G182" s="949">
        <v>56000</v>
      </c>
      <c r="H182" s="958">
        <v>52486.5</v>
      </c>
      <c r="I182" s="941">
        <v>0</v>
      </c>
      <c r="J182" s="1250">
        <f t="shared" si="28"/>
        <v>0.9372589285714286</v>
      </c>
      <c r="K182" s="941">
        <v>2100</v>
      </c>
      <c r="L182" s="941">
        <v>0</v>
      </c>
      <c r="M182" s="940"/>
    </row>
    <row r="183" spans="1:13" ht="12.75">
      <c r="A183" s="935"/>
      <c r="B183" s="935"/>
      <c r="C183" s="936" t="s">
        <v>333</v>
      </c>
      <c r="D183" s="946" t="s">
        <v>13</v>
      </c>
      <c r="E183" s="951">
        <v>6837.27</v>
      </c>
      <c r="F183" s="955">
        <f t="shared" si="37"/>
        <v>1005</v>
      </c>
      <c r="G183" s="949">
        <v>7842.27</v>
      </c>
      <c r="H183" s="958">
        <v>7118.93</v>
      </c>
      <c r="I183" s="941">
        <v>0</v>
      </c>
      <c r="J183" s="1250">
        <f t="shared" si="28"/>
        <v>0.9077639509988817</v>
      </c>
      <c r="K183" s="941">
        <v>561.56</v>
      </c>
      <c r="L183" s="941">
        <v>0</v>
      </c>
      <c r="M183" s="940"/>
    </row>
    <row r="184" spans="1:13" ht="33.75">
      <c r="A184" s="935"/>
      <c r="B184" s="935"/>
      <c r="C184" s="936" t="s">
        <v>334</v>
      </c>
      <c r="D184" s="1266" t="s">
        <v>875</v>
      </c>
      <c r="E184" s="951">
        <v>826.73</v>
      </c>
      <c r="F184" s="955">
        <f t="shared" si="37"/>
        <v>132</v>
      </c>
      <c r="G184" s="949">
        <v>958.73</v>
      </c>
      <c r="H184" s="958">
        <v>867</v>
      </c>
      <c r="I184" s="941">
        <v>0</v>
      </c>
      <c r="J184" s="1250">
        <f t="shared" si="28"/>
        <v>0.9043213417750565</v>
      </c>
      <c r="K184" s="941">
        <v>67.71</v>
      </c>
      <c r="L184" s="941">
        <v>0</v>
      </c>
      <c r="M184" s="940"/>
    </row>
    <row r="185" spans="1:13" ht="12.75">
      <c r="A185" s="935"/>
      <c r="B185" s="935"/>
      <c r="C185" s="936" t="s">
        <v>331</v>
      </c>
      <c r="D185" s="946" t="s">
        <v>28</v>
      </c>
      <c r="E185" s="951">
        <v>39984</v>
      </c>
      <c r="F185" s="955">
        <f t="shared" si="37"/>
        <v>2544</v>
      </c>
      <c r="G185" s="949">
        <v>42528</v>
      </c>
      <c r="H185" s="958">
        <v>40775.36</v>
      </c>
      <c r="I185" s="941">
        <v>0</v>
      </c>
      <c r="J185" s="1250">
        <f t="shared" si="28"/>
        <v>0.9587885628291949</v>
      </c>
      <c r="K185" s="941">
        <v>808.04</v>
      </c>
      <c r="L185" s="941">
        <v>0</v>
      </c>
      <c r="M185" s="940"/>
    </row>
    <row r="186" spans="1:13" ht="12.75">
      <c r="A186" s="935"/>
      <c r="B186" s="935"/>
      <c r="C186" s="936" t="s">
        <v>585</v>
      </c>
      <c r="D186" s="946" t="s">
        <v>586</v>
      </c>
      <c r="E186" s="951">
        <v>1200</v>
      </c>
      <c r="F186" s="955">
        <f t="shared" si="37"/>
        <v>0</v>
      </c>
      <c r="G186" s="949">
        <v>1200</v>
      </c>
      <c r="H186" s="958">
        <v>1170</v>
      </c>
      <c r="I186" s="941">
        <v>0</v>
      </c>
      <c r="J186" s="1250">
        <f t="shared" si="28"/>
        <v>0.975</v>
      </c>
      <c r="K186" s="941">
        <v>0</v>
      </c>
      <c r="L186" s="941">
        <v>0</v>
      </c>
      <c r="M186" s="940"/>
    </row>
    <row r="187" spans="1:13" ht="12.75">
      <c r="A187" s="935"/>
      <c r="B187" s="935"/>
      <c r="C187" s="936" t="s">
        <v>324</v>
      </c>
      <c r="D187" s="946" t="s">
        <v>15</v>
      </c>
      <c r="E187" s="951">
        <v>170000</v>
      </c>
      <c r="F187" s="955">
        <f t="shared" si="37"/>
        <v>10080</v>
      </c>
      <c r="G187" s="949">
        <v>180080</v>
      </c>
      <c r="H187" s="958">
        <v>172908.58</v>
      </c>
      <c r="I187" s="941">
        <v>0</v>
      </c>
      <c r="J187" s="1250">
        <f t="shared" si="28"/>
        <v>0.9601764771212794</v>
      </c>
      <c r="K187" s="941">
        <v>0</v>
      </c>
      <c r="L187" s="941">
        <v>14998.75</v>
      </c>
      <c r="M187" s="940"/>
    </row>
    <row r="188" spans="1:13" ht="12.75">
      <c r="A188" s="935"/>
      <c r="B188" s="935"/>
      <c r="C188" s="936" t="s">
        <v>546</v>
      </c>
      <c r="D188" s="946" t="s">
        <v>37</v>
      </c>
      <c r="E188" s="951">
        <v>52000</v>
      </c>
      <c r="F188" s="955">
        <f t="shared" si="37"/>
        <v>-16000</v>
      </c>
      <c r="G188" s="949">
        <v>36000</v>
      </c>
      <c r="H188" s="958">
        <v>28429.76</v>
      </c>
      <c r="I188" s="941">
        <v>0</v>
      </c>
      <c r="J188" s="1250">
        <f t="shared" si="28"/>
        <v>0.7897155555555555</v>
      </c>
      <c r="K188" s="941">
        <v>3182.04</v>
      </c>
      <c r="L188" s="941">
        <v>0</v>
      </c>
      <c r="M188" s="940"/>
    </row>
    <row r="189" spans="1:13" ht="12.75">
      <c r="A189" s="935"/>
      <c r="B189" s="935"/>
      <c r="C189" s="984" t="s">
        <v>552</v>
      </c>
      <c r="D189" s="1266" t="s">
        <v>876</v>
      </c>
      <c r="E189" s="951">
        <v>20000</v>
      </c>
      <c r="F189" s="955">
        <f t="shared" si="37"/>
        <v>10000</v>
      </c>
      <c r="G189" s="949">
        <v>30000</v>
      </c>
      <c r="H189" s="958">
        <v>29200</v>
      </c>
      <c r="I189" s="941">
        <v>0</v>
      </c>
      <c r="J189" s="1250">
        <f t="shared" si="28"/>
        <v>0.9733333333333334</v>
      </c>
      <c r="K189" s="941">
        <v>0</v>
      </c>
      <c r="L189" s="941">
        <v>0</v>
      </c>
      <c r="M189" s="940"/>
    </row>
    <row r="190" spans="1:13" ht="12.75">
      <c r="A190" s="935"/>
      <c r="B190" s="935"/>
      <c r="C190" s="936" t="s">
        <v>592</v>
      </c>
      <c r="D190" s="946" t="s">
        <v>38</v>
      </c>
      <c r="E190" s="951">
        <v>15000</v>
      </c>
      <c r="F190" s="955">
        <f t="shared" si="37"/>
        <v>-6000</v>
      </c>
      <c r="G190" s="949">
        <v>9000</v>
      </c>
      <c r="H190" s="958">
        <v>8700</v>
      </c>
      <c r="I190" s="941">
        <v>0</v>
      </c>
      <c r="J190" s="1250">
        <f t="shared" si="28"/>
        <v>0.9666666666666667</v>
      </c>
      <c r="K190" s="941">
        <v>0</v>
      </c>
      <c r="L190" s="941">
        <v>0</v>
      </c>
      <c r="M190" s="940"/>
    </row>
    <row r="191" spans="1:13" ht="12.75">
      <c r="A191" s="935"/>
      <c r="B191" s="935"/>
      <c r="C191" s="936" t="s">
        <v>325</v>
      </c>
      <c r="D191" s="946" t="s">
        <v>16</v>
      </c>
      <c r="E191" s="951">
        <v>67680.82</v>
      </c>
      <c r="F191" s="955">
        <f t="shared" si="37"/>
        <v>5058.179999999993</v>
      </c>
      <c r="G191" s="949">
        <v>72739</v>
      </c>
      <c r="H191" s="958">
        <v>70733.65</v>
      </c>
      <c r="I191" s="941">
        <v>0</v>
      </c>
      <c r="J191" s="1250">
        <f t="shared" si="28"/>
        <v>0.9724308830201129</v>
      </c>
      <c r="K191" s="941">
        <v>162</v>
      </c>
      <c r="L191" s="941">
        <v>0</v>
      </c>
      <c r="M191" s="940"/>
    </row>
    <row r="192" spans="1:13" ht="22.5">
      <c r="A192" s="935"/>
      <c r="B192" s="935"/>
      <c r="C192" s="936" t="s">
        <v>335</v>
      </c>
      <c r="D192" s="946" t="s">
        <v>553</v>
      </c>
      <c r="E192" s="951">
        <v>3000</v>
      </c>
      <c r="F192" s="955">
        <f t="shared" si="37"/>
        <v>500</v>
      </c>
      <c r="G192" s="949">
        <v>3500</v>
      </c>
      <c r="H192" s="958">
        <v>2761.86</v>
      </c>
      <c r="I192" s="941">
        <v>0</v>
      </c>
      <c r="J192" s="1250">
        <f t="shared" si="28"/>
        <v>0.7891028571428572</v>
      </c>
      <c r="K192" s="941">
        <v>0</v>
      </c>
      <c r="L192" s="941">
        <v>0</v>
      </c>
      <c r="M192" s="940"/>
    </row>
    <row r="193" spans="1:13" ht="12.75">
      <c r="A193" s="935"/>
      <c r="B193" s="935"/>
      <c r="C193" s="936" t="s">
        <v>544</v>
      </c>
      <c r="D193" s="946" t="s">
        <v>17</v>
      </c>
      <c r="E193" s="951">
        <v>42000</v>
      </c>
      <c r="F193" s="955">
        <f t="shared" si="37"/>
        <v>-3000</v>
      </c>
      <c r="G193" s="949">
        <v>39000</v>
      </c>
      <c r="H193" s="958">
        <v>37666</v>
      </c>
      <c r="I193" s="941">
        <v>0</v>
      </c>
      <c r="J193" s="1250">
        <f t="shared" si="28"/>
        <v>0.9657948717948718</v>
      </c>
      <c r="K193" s="941">
        <v>0</v>
      </c>
      <c r="L193" s="941">
        <v>0</v>
      </c>
      <c r="M193" s="940"/>
    </row>
    <row r="194" spans="1:13" ht="22.5">
      <c r="A194" s="935"/>
      <c r="B194" s="935"/>
      <c r="C194" s="936" t="s">
        <v>127</v>
      </c>
      <c r="D194" s="946" t="s">
        <v>41</v>
      </c>
      <c r="E194" s="951">
        <v>15000</v>
      </c>
      <c r="F194" s="955">
        <f t="shared" si="37"/>
        <v>0</v>
      </c>
      <c r="G194" s="949">
        <v>15000</v>
      </c>
      <c r="H194" s="958">
        <v>14993.7</v>
      </c>
      <c r="I194" s="941">
        <v>0</v>
      </c>
      <c r="J194" s="1250">
        <f t="shared" si="28"/>
        <v>0.99958</v>
      </c>
      <c r="K194" s="941">
        <v>0</v>
      </c>
      <c r="L194" s="941">
        <v>14993.7</v>
      </c>
      <c r="M194" s="940"/>
    </row>
    <row r="195" spans="1:13" ht="22.5">
      <c r="A195" s="935"/>
      <c r="B195" s="935"/>
      <c r="C195" s="936" t="s">
        <v>145</v>
      </c>
      <c r="D195" s="946" t="s">
        <v>71</v>
      </c>
      <c r="E195" s="951">
        <v>0</v>
      </c>
      <c r="F195" s="955">
        <f t="shared" si="37"/>
        <v>0</v>
      </c>
      <c r="G195" s="949" t="s">
        <v>370</v>
      </c>
      <c r="H195" s="958">
        <v>0</v>
      </c>
      <c r="I195" s="941">
        <v>0</v>
      </c>
      <c r="J195" s="1250">
        <v>0</v>
      </c>
      <c r="K195" s="941">
        <v>0</v>
      </c>
      <c r="L195" s="941">
        <v>0</v>
      </c>
      <c r="M195" s="940"/>
    </row>
    <row r="196" spans="1:13" ht="67.5">
      <c r="A196" s="935"/>
      <c r="B196" s="935"/>
      <c r="C196" s="936" t="s">
        <v>170</v>
      </c>
      <c r="D196" s="946" t="s">
        <v>613</v>
      </c>
      <c r="E196" s="951">
        <v>0</v>
      </c>
      <c r="F196" s="955">
        <f t="shared" si="37"/>
        <v>2000</v>
      </c>
      <c r="G196" s="949">
        <v>2000</v>
      </c>
      <c r="H196" s="958">
        <v>2000</v>
      </c>
      <c r="I196" s="941">
        <v>0</v>
      </c>
      <c r="J196" s="1250">
        <f t="shared" si="28"/>
        <v>1</v>
      </c>
      <c r="K196" s="941">
        <v>0</v>
      </c>
      <c r="L196" s="941">
        <v>0</v>
      </c>
      <c r="M196" s="940"/>
    </row>
    <row r="197" spans="1:13" ht="15">
      <c r="A197" s="932"/>
      <c r="B197" s="938" t="s">
        <v>614</v>
      </c>
      <c r="C197" s="933"/>
      <c r="D197" s="945" t="s">
        <v>615</v>
      </c>
      <c r="E197" s="950">
        <f>E198+E199+E200+E201</f>
        <v>13000</v>
      </c>
      <c r="F197" s="954">
        <f aca="true" t="shared" si="38" ref="F197:L197">F198+F199+F200+F201</f>
        <v>9000</v>
      </c>
      <c r="G197" s="947">
        <f t="shared" si="38"/>
        <v>22000</v>
      </c>
      <c r="H197" s="950">
        <f t="shared" si="38"/>
        <v>13644.76</v>
      </c>
      <c r="I197" s="954">
        <f t="shared" si="38"/>
        <v>0</v>
      </c>
      <c r="J197" s="959">
        <f t="shared" si="28"/>
        <v>0.6202163636363637</v>
      </c>
      <c r="K197" s="954">
        <f t="shared" si="38"/>
        <v>169.94</v>
      </c>
      <c r="L197" s="1439">
        <f t="shared" si="38"/>
        <v>0</v>
      </c>
      <c r="M197" s="940"/>
    </row>
    <row r="198" spans="1:13" ht="12.75">
      <c r="A198" s="935"/>
      <c r="B198" s="935"/>
      <c r="C198" s="936" t="s">
        <v>324</v>
      </c>
      <c r="D198" s="946" t="s">
        <v>15</v>
      </c>
      <c r="E198" s="951">
        <v>5000</v>
      </c>
      <c r="F198" s="955">
        <f>G198-E198</f>
        <v>8000</v>
      </c>
      <c r="G198" s="949">
        <v>13000</v>
      </c>
      <c r="H198" s="958">
        <v>6472.11</v>
      </c>
      <c r="I198" s="941">
        <v>0</v>
      </c>
      <c r="J198" s="1250">
        <f t="shared" si="28"/>
        <v>0.49785461538461534</v>
      </c>
      <c r="K198" s="941">
        <v>0</v>
      </c>
      <c r="L198" s="941">
        <v>0</v>
      </c>
      <c r="M198" s="940"/>
    </row>
    <row r="199" spans="1:13" ht="12.75">
      <c r="A199" s="935"/>
      <c r="B199" s="935"/>
      <c r="C199" s="936" t="s">
        <v>546</v>
      </c>
      <c r="D199" s="946" t="s">
        <v>37</v>
      </c>
      <c r="E199" s="951">
        <v>1700</v>
      </c>
      <c r="F199" s="955">
        <f>G199-E199</f>
        <v>0</v>
      </c>
      <c r="G199" s="949">
        <v>1700</v>
      </c>
      <c r="H199" s="958">
        <v>1150.52</v>
      </c>
      <c r="I199" s="941">
        <v>0</v>
      </c>
      <c r="J199" s="1250">
        <f t="shared" si="28"/>
        <v>0.6767764705882353</v>
      </c>
      <c r="K199" s="941">
        <v>169.94</v>
      </c>
      <c r="L199" s="941">
        <v>0</v>
      </c>
      <c r="M199" s="940"/>
    </row>
    <row r="200" spans="1:13" ht="12.75">
      <c r="A200" s="935"/>
      <c r="B200" s="935"/>
      <c r="C200" s="936" t="s">
        <v>325</v>
      </c>
      <c r="D200" s="946" t="s">
        <v>16</v>
      </c>
      <c r="E200" s="951">
        <v>5100</v>
      </c>
      <c r="F200" s="955">
        <f>G200-E200</f>
        <v>1000</v>
      </c>
      <c r="G200" s="949">
        <v>6100</v>
      </c>
      <c r="H200" s="958">
        <v>5116.37</v>
      </c>
      <c r="I200" s="941">
        <v>0</v>
      </c>
      <c r="J200" s="1250">
        <f t="shared" si="28"/>
        <v>0.8387491803278688</v>
      </c>
      <c r="K200" s="941">
        <v>0</v>
      </c>
      <c r="L200" s="941">
        <v>0</v>
      </c>
      <c r="M200" s="940"/>
    </row>
    <row r="201" spans="1:13" ht="22.5">
      <c r="A201" s="935"/>
      <c r="B201" s="935"/>
      <c r="C201" s="936" t="s">
        <v>335</v>
      </c>
      <c r="D201" s="946" t="s">
        <v>553</v>
      </c>
      <c r="E201" s="951">
        <v>1200</v>
      </c>
      <c r="F201" s="955">
        <f>G201-E201</f>
        <v>0</v>
      </c>
      <c r="G201" s="949">
        <v>1200</v>
      </c>
      <c r="H201" s="958">
        <v>905.76</v>
      </c>
      <c r="I201" s="941">
        <v>0</v>
      </c>
      <c r="J201" s="1250">
        <f t="shared" si="28"/>
        <v>0.7548</v>
      </c>
      <c r="K201" s="941">
        <v>0</v>
      </c>
      <c r="L201" s="941">
        <v>0</v>
      </c>
      <c r="M201" s="940"/>
    </row>
    <row r="202" spans="1:13" ht="22.5">
      <c r="A202" s="932"/>
      <c r="B202" s="938" t="s">
        <v>616</v>
      </c>
      <c r="C202" s="933"/>
      <c r="D202" s="945" t="s">
        <v>268</v>
      </c>
      <c r="E202" s="950">
        <f>E203+E204+E205+E206+E207+E208</f>
        <v>60000</v>
      </c>
      <c r="F202" s="950">
        <f>F203+F204+F205+F206+F207+F208</f>
        <v>100000</v>
      </c>
      <c r="G202" s="950">
        <f>G203+G204+G205+G206+G207+G208</f>
        <v>160000</v>
      </c>
      <c r="H202" s="950">
        <f>H203+H204+H205+H206+H207+H208</f>
        <v>160000</v>
      </c>
      <c r="I202" s="950">
        <f>I203+I204+I205+I206+I207+I208</f>
        <v>0</v>
      </c>
      <c r="J202" s="959">
        <f t="shared" si="28"/>
        <v>1</v>
      </c>
      <c r="K202" s="954">
        <f>K203+K204+K205+K206+K207</f>
        <v>0</v>
      </c>
      <c r="L202" s="1439">
        <f>L203+L204+L205+L206+L207</f>
        <v>0</v>
      </c>
      <c r="M202" s="940"/>
    </row>
    <row r="203" spans="1:13" ht="78.75">
      <c r="A203" s="935"/>
      <c r="B203" s="935"/>
      <c r="C203" s="936" t="s">
        <v>505</v>
      </c>
      <c r="D203" s="946" t="s">
        <v>617</v>
      </c>
      <c r="E203" s="951">
        <v>60000</v>
      </c>
      <c r="F203" s="955">
        <f aca="true" t="shared" si="39" ref="F203:F208">G203-E203</f>
        <v>30000</v>
      </c>
      <c r="G203" s="949">
        <v>90000</v>
      </c>
      <c r="H203" s="958">
        <v>90000</v>
      </c>
      <c r="I203" s="941">
        <v>0</v>
      </c>
      <c r="J203" s="1250">
        <f t="shared" si="28"/>
        <v>1</v>
      </c>
      <c r="K203" s="941">
        <v>0</v>
      </c>
      <c r="L203" s="941">
        <v>0</v>
      </c>
      <c r="M203" s="940"/>
    </row>
    <row r="204" spans="1:13" ht="12.75" hidden="1">
      <c r="A204" s="935"/>
      <c r="B204" s="935"/>
      <c r="C204" s="936" t="s">
        <v>333</v>
      </c>
      <c r="D204" s="946" t="s">
        <v>13</v>
      </c>
      <c r="E204" s="951">
        <v>0</v>
      </c>
      <c r="F204" s="955">
        <f t="shared" si="39"/>
        <v>0</v>
      </c>
      <c r="G204" s="949">
        <v>0</v>
      </c>
      <c r="H204" s="958">
        <v>0</v>
      </c>
      <c r="I204" s="941">
        <v>0</v>
      </c>
      <c r="J204" s="1250">
        <v>0</v>
      </c>
      <c r="K204" s="941">
        <v>0</v>
      </c>
      <c r="L204" s="941">
        <v>0</v>
      </c>
      <c r="M204" s="940"/>
    </row>
    <row r="205" spans="1:13" ht="33.75" hidden="1">
      <c r="A205" s="935"/>
      <c r="B205" s="935"/>
      <c r="C205" s="936" t="s">
        <v>334</v>
      </c>
      <c r="D205" s="1266" t="s">
        <v>875</v>
      </c>
      <c r="E205" s="951">
        <v>0</v>
      </c>
      <c r="F205" s="955">
        <f t="shared" si="39"/>
        <v>0</v>
      </c>
      <c r="G205" s="949">
        <v>0</v>
      </c>
      <c r="H205" s="958">
        <v>0</v>
      </c>
      <c r="I205" s="941">
        <v>0</v>
      </c>
      <c r="J205" s="1250">
        <v>0</v>
      </c>
      <c r="K205" s="941">
        <v>0</v>
      </c>
      <c r="L205" s="941">
        <v>0</v>
      </c>
      <c r="M205" s="940"/>
    </row>
    <row r="206" spans="1:13" ht="12.75" hidden="1">
      <c r="A206" s="935"/>
      <c r="B206" s="935"/>
      <c r="C206" s="936" t="s">
        <v>331</v>
      </c>
      <c r="D206" s="946" t="s">
        <v>28</v>
      </c>
      <c r="E206" s="951">
        <v>0</v>
      </c>
      <c r="F206" s="955">
        <f t="shared" si="39"/>
        <v>0</v>
      </c>
      <c r="G206" s="949">
        <v>0</v>
      </c>
      <c r="H206" s="958">
        <v>0</v>
      </c>
      <c r="I206" s="941">
        <v>0</v>
      </c>
      <c r="J206" s="1250">
        <v>0</v>
      </c>
      <c r="K206" s="941">
        <v>0</v>
      </c>
      <c r="L206" s="941">
        <v>0</v>
      </c>
      <c r="M206" s="940"/>
    </row>
    <row r="207" spans="1:13" ht="12.75" hidden="1">
      <c r="A207" s="935"/>
      <c r="B207" s="935"/>
      <c r="C207" s="936" t="s">
        <v>325</v>
      </c>
      <c r="D207" s="946" t="s">
        <v>16</v>
      </c>
      <c r="E207" s="951">
        <v>0</v>
      </c>
      <c r="F207" s="955">
        <f t="shared" si="39"/>
        <v>0</v>
      </c>
      <c r="G207" s="949">
        <v>0</v>
      </c>
      <c r="H207" s="958">
        <v>0</v>
      </c>
      <c r="I207" s="941">
        <v>0</v>
      </c>
      <c r="J207" s="1250">
        <v>0</v>
      </c>
      <c r="K207" s="941">
        <v>0</v>
      </c>
      <c r="L207" s="941">
        <v>0</v>
      </c>
      <c r="M207" s="940"/>
    </row>
    <row r="208" spans="1:13" ht="22.5">
      <c r="A208" s="935"/>
      <c r="B208" s="935"/>
      <c r="C208" s="984" t="s">
        <v>145</v>
      </c>
      <c r="D208" s="946" t="s">
        <v>71</v>
      </c>
      <c r="E208" s="951">
        <v>0</v>
      </c>
      <c r="F208" s="955">
        <f t="shared" si="39"/>
        <v>70000</v>
      </c>
      <c r="G208" s="1528">
        <v>70000</v>
      </c>
      <c r="H208" s="942">
        <v>70000</v>
      </c>
      <c r="I208" s="941">
        <v>0</v>
      </c>
      <c r="J208" s="1250">
        <f>H208/G208</f>
        <v>1</v>
      </c>
      <c r="K208" s="941">
        <v>0</v>
      </c>
      <c r="L208" s="1309">
        <v>0</v>
      </c>
      <c r="M208" s="940"/>
    </row>
    <row r="209" spans="1:13" ht="15">
      <c r="A209" s="932"/>
      <c r="B209" s="938" t="s">
        <v>173</v>
      </c>
      <c r="C209" s="933"/>
      <c r="D209" s="945" t="s">
        <v>618</v>
      </c>
      <c r="E209" s="950">
        <f>E210+E211+E212+E213+E214</f>
        <v>32000</v>
      </c>
      <c r="F209" s="954">
        <f aca="true" t="shared" si="40" ref="F209:L209">F210+F211+F212+F213+F214</f>
        <v>0</v>
      </c>
      <c r="G209" s="947">
        <f t="shared" si="40"/>
        <v>32000</v>
      </c>
      <c r="H209" s="950">
        <f t="shared" si="40"/>
        <v>19701.37</v>
      </c>
      <c r="I209" s="954">
        <f t="shared" si="40"/>
        <v>0</v>
      </c>
      <c r="J209" s="959">
        <f t="shared" si="28"/>
        <v>0.6156678125</v>
      </c>
      <c r="K209" s="954">
        <f t="shared" si="40"/>
        <v>0</v>
      </c>
      <c r="L209" s="1439">
        <f t="shared" si="40"/>
        <v>0</v>
      </c>
      <c r="M209" s="940"/>
    </row>
    <row r="210" spans="1:13" ht="22.5">
      <c r="A210" s="935"/>
      <c r="B210" s="935"/>
      <c r="C210" s="936" t="s">
        <v>576</v>
      </c>
      <c r="D210" s="946" t="s">
        <v>577</v>
      </c>
      <c r="E210" s="951">
        <v>10500</v>
      </c>
      <c r="F210" s="955">
        <f>G210-E210</f>
        <v>0</v>
      </c>
      <c r="G210" s="949">
        <v>10500</v>
      </c>
      <c r="H210" s="958">
        <v>6781.4</v>
      </c>
      <c r="I210" s="941">
        <v>0</v>
      </c>
      <c r="J210" s="1250">
        <f t="shared" si="28"/>
        <v>0.645847619047619</v>
      </c>
      <c r="K210" s="941">
        <v>0</v>
      </c>
      <c r="L210" s="941">
        <v>0</v>
      </c>
      <c r="M210" s="940"/>
    </row>
    <row r="211" spans="1:13" ht="12.75">
      <c r="A211" s="935"/>
      <c r="B211" s="935"/>
      <c r="C211" s="936" t="s">
        <v>324</v>
      </c>
      <c r="D211" s="946" t="s">
        <v>15</v>
      </c>
      <c r="E211" s="951">
        <v>14000</v>
      </c>
      <c r="F211" s="955">
        <f>G211-E211</f>
        <v>0</v>
      </c>
      <c r="G211" s="949">
        <v>14000</v>
      </c>
      <c r="H211" s="958">
        <v>7706.27</v>
      </c>
      <c r="I211" s="941">
        <v>0</v>
      </c>
      <c r="J211" s="1250">
        <f t="shared" si="28"/>
        <v>0.5504478571428572</v>
      </c>
      <c r="K211" s="941">
        <v>0</v>
      </c>
      <c r="L211" s="941">
        <v>0</v>
      </c>
      <c r="M211" s="940"/>
    </row>
    <row r="212" spans="1:13" ht="12.75">
      <c r="A212" s="935"/>
      <c r="B212" s="935"/>
      <c r="C212" s="936" t="s">
        <v>325</v>
      </c>
      <c r="D212" s="946" t="s">
        <v>16</v>
      </c>
      <c r="E212" s="951">
        <v>3500</v>
      </c>
      <c r="F212" s="955">
        <f>G212-E212</f>
        <v>0</v>
      </c>
      <c r="G212" s="949">
        <v>3500</v>
      </c>
      <c r="H212" s="958">
        <v>1552.05</v>
      </c>
      <c r="I212" s="941">
        <v>0</v>
      </c>
      <c r="J212" s="1250">
        <f t="shared" si="28"/>
        <v>0.44344285714285714</v>
      </c>
      <c r="K212" s="941">
        <v>0</v>
      </c>
      <c r="L212" s="941">
        <v>0</v>
      </c>
      <c r="M212" s="940"/>
    </row>
    <row r="213" spans="1:13" ht="12.75">
      <c r="A213" s="935"/>
      <c r="B213" s="935"/>
      <c r="C213" s="936" t="s">
        <v>544</v>
      </c>
      <c r="D213" s="946" t="s">
        <v>17</v>
      </c>
      <c r="E213" s="951">
        <v>4000</v>
      </c>
      <c r="F213" s="955">
        <f>G213-E213</f>
        <v>0</v>
      </c>
      <c r="G213" s="949" t="s">
        <v>529</v>
      </c>
      <c r="H213" s="958">
        <v>3661.65</v>
      </c>
      <c r="I213" s="941">
        <v>0</v>
      </c>
      <c r="J213" s="1250">
        <f t="shared" si="28"/>
        <v>0.9154125000000001</v>
      </c>
      <c r="K213" s="941">
        <v>0</v>
      </c>
      <c r="L213" s="941">
        <v>0</v>
      </c>
      <c r="M213" s="940"/>
    </row>
    <row r="214" spans="1:13" ht="22.5" hidden="1">
      <c r="A214" s="935"/>
      <c r="B214" s="935"/>
      <c r="C214" s="936" t="s">
        <v>145</v>
      </c>
      <c r="D214" s="946" t="s">
        <v>71</v>
      </c>
      <c r="E214" s="951">
        <v>0</v>
      </c>
      <c r="F214" s="955">
        <f>G214-E214</f>
        <v>0</v>
      </c>
      <c r="G214" s="949">
        <v>0</v>
      </c>
      <c r="H214" s="958">
        <v>0</v>
      </c>
      <c r="I214" s="941">
        <v>0</v>
      </c>
      <c r="J214" s="1250">
        <v>0</v>
      </c>
      <c r="K214" s="941">
        <v>0</v>
      </c>
      <c r="L214" s="941">
        <v>0</v>
      </c>
      <c r="M214" s="940"/>
    </row>
    <row r="215" spans="1:13" ht="12.75">
      <c r="A215" s="965" t="s">
        <v>619</v>
      </c>
      <c r="B215" s="965"/>
      <c r="C215" s="965"/>
      <c r="D215" s="966" t="s">
        <v>620</v>
      </c>
      <c r="E215" s="967">
        <f>E216</f>
        <v>416000</v>
      </c>
      <c r="F215" s="963">
        <f aca="true" t="shared" si="41" ref="F215:L215">F216</f>
        <v>0</v>
      </c>
      <c r="G215" s="968">
        <f t="shared" si="41"/>
        <v>416000</v>
      </c>
      <c r="H215" s="967">
        <f t="shared" si="41"/>
        <v>399308.37</v>
      </c>
      <c r="I215" s="963">
        <f t="shared" si="41"/>
        <v>0</v>
      </c>
      <c r="J215" s="964">
        <f t="shared" si="28"/>
        <v>0.9598758894230769</v>
      </c>
      <c r="K215" s="963">
        <f t="shared" si="41"/>
        <v>18876.76</v>
      </c>
      <c r="L215" s="1440">
        <f t="shared" si="41"/>
        <v>0</v>
      </c>
      <c r="M215" s="940"/>
    </row>
    <row r="216" spans="1:13" ht="33.75">
      <c r="A216" s="932"/>
      <c r="B216" s="938" t="s">
        <v>621</v>
      </c>
      <c r="C216" s="933"/>
      <c r="D216" s="945" t="s">
        <v>622</v>
      </c>
      <c r="E216" s="950">
        <f>E217</f>
        <v>416000</v>
      </c>
      <c r="F216" s="954">
        <f aca="true" t="shared" si="42" ref="F216:L216">F217</f>
        <v>0</v>
      </c>
      <c r="G216" s="947">
        <f t="shared" si="42"/>
        <v>416000</v>
      </c>
      <c r="H216" s="950">
        <f t="shared" si="42"/>
        <v>399308.37</v>
      </c>
      <c r="I216" s="954">
        <f t="shared" si="42"/>
        <v>0</v>
      </c>
      <c r="J216" s="959">
        <f t="shared" si="28"/>
        <v>0.9598758894230769</v>
      </c>
      <c r="K216" s="954">
        <f t="shared" si="42"/>
        <v>18876.76</v>
      </c>
      <c r="L216" s="1439">
        <f t="shared" si="42"/>
        <v>0</v>
      </c>
      <c r="M216" s="940"/>
    </row>
    <row r="217" spans="1:13" ht="45">
      <c r="A217" s="935"/>
      <c r="B217" s="935"/>
      <c r="C217" s="936" t="s">
        <v>623</v>
      </c>
      <c r="D217" s="1266" t="s">
        <v>624</v>
      </c>
      <c r="E217" s="951">
        <v>416000</v>
      </c>
      <c r="F217" s="955">
        <f>G217-E217</f>
        <v>0</v>
      </c>
      <c r="G217" s="949">
        <v>416000</v>
      </c>
      <c r="H217" s="958">
        <v>399308.37</v>
      </c>
      <c r="I217" s="941">
        <v>0</v>
      </c>
      <c r="J217" s="1250">
        <f t="shared" si="28"/>
        <v>0.9598758894230769</v>
      </c>
      <c r="K217" s="941">
        <v>18876.76</v>
      </c>
      <c r="L217" s="941">
        <v>0</v>
      </c>
      <c r="M217" s="940"/>
    </row>
    <row r="218" spans="1:13" ht="12.75">
      <c r="A218" s="965" t="s">
        <v>455</v>
      </c>
      <c r="B218" s="965"/>
      <c r="C218" s="965"/>
      <c r="D218" s="966" t="s">
        <v>66</v>
      </c>
      <c r="E218" s="967">
        <f>E219+E221+E224</f>
        <v>310000</v>
      </c>
      <c r="F218" s="963">
        <f>F219+F221+F224</f>
        <v>-77500</v>
      </c>
      <c r="G218" s="968">
        <f>G219+G221+G224</f>
        <v>232500</v>
      </c>
      <c r="H218" s="967">
        <f>H219+H221+H224</f>
        <v>0</v>
      </c>
      <c r="I218" s="963">
        <f>I219+I221+I224</f>
        <v>0</v>
      </c>
      <c r="J218" s="964">
        <f t="shared" si="28"/>
        <v>0</v>
      </c>
      <c r="K218" s="963">
        <f>K219+K221+K224</f>
        <v>0</v>
      </c>
      <c r="L218" s="1440">
        <f>L219+L221+L224</f>
        <v>0</v>
      </c>
      <c r="M218" s="940"/>
    </row>
    <row r="219" spans="1:13" ht="22.5" hidden="1">
      <c r="A219" s="932"/>
      <c r="B219" s="938" t="s">
        <v>456</v>
      </c>
      <c r="C219" s="933"/>
      <c r="D219" s="945" t="s">
        <v>457</v>
      </c>
      <c r="E219" s="950">
        <f>E220</f>
        <v>0</v>
      </c>
      <c r="F219" s="954">
        <f aca="true" t="shared" si="43" ref="F219:L219">F220</f>
        <v>0</v>
      </c>
      <c r="G219" s="947">
        <f t="shared" si="43"/>
        <v>0</v>
      </c>
      <c r="H219" s="950">
        <f t="shared" si="43"/>
        <v>0</v>
      </c>
      <c r="I219" s="954">
        <f t="shared" si="43"/>
        <v>0</v>
      </c>
      <c r="J219" s="959">
        <v>0</v>
      </c>
      <c r="K219" s="954">
        <f t="shared" si="43"/>
        <v>0</v>
      </c>
      <c r="L219" s="1439">
        <f t="shared" si="43"/>
        <v>0</v>
      </c>
      <c r="M219" s="940"/>
    </row>
    <row r="220" spans="1:13" ht="33.75" hidden="1">
      <c r="A220" s="935"/>
      <c r="B220" s="935"/>
      <c r="C220" s="936" t="s">
        <v>625</v>
      </c>
      <c r="D220" s="946" t="s">
        <v>626</v>
      </c>
      <c r="E220" s="951">
        <v>0</v>
      </c>
      <c r="F220" s="955">
        <f>G220-E220</f>
        <v>0</v>
      </c>
      <c r="G220" s="949">
        <v>0</v>
      </c>
      <c r="H220" s="958">
        <v>0</v>
      </c>
      <c r="I220" s="941">
        <v>0</v>
      </c>
      <c r="J220" s="1250">
        <v>0</v>
      </c>
      <c r="K220" s="941">
        <v>0</v>
      </c>
      <c r="L220" s="941">
        <v>0</v>
      </c>
      <c r="M220" s="940"/>
    </row>
    <row r="221" spans="1:13" ht="15" hidden="1">
      <c r="A221" s="932"/>
      <c r="B221" s="938" t="s">
        <v>462</v>
      </c>
      <c r="C221" s="933"/>
      <c r="D221" s="945" t="s">
        <v>24</v>
      </c>
      <c r="E221" s="950">
        <f>E222+E223</f>
        <v>0</v>
      </c>
      <c r="F221" s="954">
        <f aca="true" t="shared" si="44" ref="F221:L221">F222+F223</f>
        <v>0</v>
      </c>
      <c r="G221" s="947">
        <f t="shared" si="44"/>
        <v>0</v>
      </c>
      <c r="H221" s="950">
        <f t="shared" si="44"/>
        <v>0</v>
      </c>
      <c r="I221" s="954">
        <f t="shared" si="44"/>
        <v>0</v>
      </c>
      <c r="J221" s="959">
        <v>0</v>
      </c>
      <c r="K221" s="954">
        <f t="shared" si="44"/>
        <v>0</v>
      </c>
      <c r="L221" s="1439">
        <f t="shared" si="44"/>
        <v>0</v>
      </c>
      <c r="M221" s="940"/>
    </row>
    <row r="222" spans="1:13" ht="12.75" hidden="1">
      <c r="A222" s="935"/>
      <c r="B222" s="935"/>
      <c r="C222" s="936" t="s">
        <v>324</v>
      </c>
      <c r="D222" s="946" t="s">
        <v>15</v>
      </c>
      <c r="E222" s="951">
        <v>0</v>
      </c>
      <c r="F222" s="955">
        <f>G222-E222</f>
        <v>0</v>
      </c>
      <c r="G222" s="949" t="s">
        <v>370</v>
      </c>
      <c r="H222" s="958">
        <v>0</v>
      </c>
      <c r="I222" s="941">
        <v>0</v>
      </c>
      <c r="J222" s="1250">
        <v>0</v>
      </c>
      <c r="K222" s="941">
        <v>0</v>
      </c>
      <c r="L222" s="941">
        <v>0</v>
      </c>
      <c r="M222" s="940"/>
    </row>
    <row r="223" spans="1:13" ht="12.75" hidden="1">
      <c r="A223" s="935"/>
      <c r="B223" s="935"/>
      <c r="C223" s="936" t="s">
        <v>325</v>
      </c>
      <c r="D223" s="946" t="s">
        <v>16</v>
      </c>
      <c r="E223" s="951">
        <v>0</v>
      </c>
      <c r="F223" s="955">
        <f>G223-E223</f>
        <v>0</v>
      </c>
      <c r="G223" s="949" t="s">
        <v>370</v>
      </c>
      <c r="H223" s="958">
        <v>0</v>
      </c>
      <c r="I223" s="941">
        <v>0</v>
      </c>
      <c r="J223" s="1250">
        <v>0</v>
      </c>
      <c r="K223" s="941">
        <v>0</v>
      </c>
      <c r="L223" s="941">
        <v>0</v>
      </c>
      <c r="M223" s="940"/>
    </row>
    <row r="224" spans="1:13" ht="15">
      <c r="A224" s="932"/>
      <c r="B224" s="938" t="s">
        <v>627</v>
      </c>
      <c r="C224" s="933"/>
      <c r="D224" s="945" t="s">
        <v>628</v>
      </c>
      <c r="E224" s="950">
        <f>E225</f>
        <v>310000</v>
      </c>
      <c r="F224" s="954">
        <f aca="true" t="shared" si="45" ref="F224:L224">F225</f>
        <v>-77500</v>
      </c>
      <c r="G224" s="947">
        <f t="shared" si="45"/>
        <v>232500</v>
      </c>
      <c r="H224" s="950">
        <f t="shared" si="45"/>
        <v>0</v>
      </c>
      <c r="I224" s="954">
        <f t="shared" si="45"/>
        <v>0</v>
      </c>
      <c r="J224" s="959">
        <f aca="true" t="shared" si="46" ref="J224:J283">H224/G224</f>
        <v>0</v>
      </c>
      <c r="K224" s="954">
        <f t="shared" si="45"/>
        <v>0</v>
      </c>
      <c r="L224" s="1439">
        <f t="shared" si="45"/>
        <v>0</v>
      </c>
      <c r="M224" s="940"/>
    </row>
    <row r="225" spans="1:13" ht="12.75">
      <c r="A225" s="935"/>
      <c r="B225" s="935"/>
      <c r="C225" s="936" t="s">
        <v>629</v>
      </c>
      <c r="D225" s="946" t="s">
        <v>630</v>
      </c>
      <c r="E225" s="951">
        <v>310000</v>
      </c>
      <c r="F225" s="955">
        <f>G225-E225</f>
        <v>-77500</v>
      </c>
      <c r="G225" s="949">
        <v>232500</v>
      </c>
      <c r="H225" s="958">
        <v>0</v>
      </c>
      <c r="I225" s="941">
        <v>0</v>
      </c>
      <c r="J225" s="1250">
        <f t="shared" si="46"/>
        <v>0</v>
      </c>
      <c r="K225" s="941">
        <v>0</v>
      </c>
      <c r="L225" s="941">
        <v>0</v>
      </c>
      <c r="M225" s="940"/>
    </row>
    <row r="226" spans="1:13" ht="12.75">
      <c r="A226" s="965" t="s">
        <v>177</v>
      </c>
      <c r="B226" s="965"/>
      <c r="C226" s="965"/>
      <c r="D226" s="966" t="s">
        <v>30</v>
      </c>
      <c r="E226" s="967">
        <f>E227+E249+E263+E287+E306+E308+E311+E325+E338+E351+E356+E360</f>
        <v>27254343.56</v>
      </c>
      <c r="F226" s="963">
        <f>F227+F249+F263+F287+F306+F308+F311+F325+F338+F351+F356+F360</f>
        <v>1066862.5999999996</v>
      </c>
      <c r="G226" s="968">
        <f>G227+G249+G263+G287+G306+G308+G311+G325+G338+G351+G356+G360</f>
        <v>28321206.159999993</v>
      </c>
      <c r="H226" s="967">
        <f>H227+H249+H263+H287+H306+H308+H311+H325+H338+H351+H356+H360</f>
        <v>27659227.97</v>
      </c>
      <c r="I226" s="963">
        <f>I227+I249+I263+I287+I306+I308+I311+I325+I338+I351+I356+I360</f>
        <v>0</v>
      </c>
      <c r="J226" s="964">
        <f t="shared" si="46"/>
        <v>0.9766260594178029</v>
      </c>
      <c r="K226" s="963">
        <f>K227+K249+K263+K287+K306+K308+K311+K325+K338+K351+K356+K360</f>
        <v>1854501.9299999997</v>
      </c>
      <c r="L226" s="1440">
        <f>L227+L249+L263+L287+L306+L308+L311+L325+L338+L351+L356+L360</f>
        <v>7646.3</v>
      </c>
      <c r="M226" s="940"/>
    </row>
    <row r="227" spans="1:13" ht="15">
      <c r="A227" s="932"/>
      <c r="B227" s="938" t="s">
        <v>178</v>
      </c>
      <c r="C227" s="933"/>
      <c r="D227" s="945" t="s">
        <v>73</v>
      </c>
      <c r="E227" s="950">
        <f>E228+E229+E230+E231+E232+E233+E234+E235+E236+E237+E238+E239+E240+E241+E242+E243+E244+E245+E246+E247+E248</f>
        <v>14939351</v>
      </c>
      <c r="F227" s="954">
        <f aca="true" t="shared" si="47" ref="F227:L227">F228+F229+F230+F231+F232+F233+F234+F235+F236+F237+F238+F239+F240+F241+F242+F243+F244+F245+F246+F247+F248</f>
        <v>932042.7099999998</v>
      </c>
      <c r="G227" s="947">
        <f t="shared" si="47"/>
        <v>15871393.709999997</v>
      </c>
      <c r="H227" s="950">
        <f t="shared" si="47"/>
        <v>15744581.25</v>
      </c>
      <c r="I227" s="954">
        <f t="shared" si="47"/>
        <v>0</v>
      </c>
      <c r="J227" s="959">
        <f t="shared" si="46"/>
        <v>0.9920099984716467</v>
      </c>
      <c r="K227" s="954">
        <f t="shared" si="47"/>
        <v>1354554.88</v>
      </c>
      <c r="L227" s="1439">
        <f t="shared" si="47"/>
        <v>0</v>
      </c>
      <c r="M227" s="940"/>
    </row>
    <row r="228" spans="1:13" ht="45">
      <c r="A228" s="935"/>
      <c r="B228" s="935"/>
      <c r="C228" s="936" t="s">
        <v>481</v>
      </c>
      <c r="D228" s="946" t="s">
        <v>549</v>
      </c>
      <c r="E228" s="951">
        <v>3250</v>
      </c>
      <c r="F228" s="955">
        <f>G228-E228</f>
        <v>0</v>
      </c>
      <c r="G228" s="949">
        <v>3250</v>
      </c>
      <c r="H228" s="1264">
        <v>1970.15</v>
      </c>
      <c r="I228" s="948">
        <v>0</v>
      </c>
      <c r="J228" s="1250">
        <f t="shared" si="46"/>
        <v>0.6062000000000001</v>
      </c>
      <c r="K228" s="941">
        <v>0</v>
      </c>
      <c r="L228" s="941">
        <v>0</v>
      </c>
      <c r="M228" s="940"/>
    </row>
    <row r="229" spans="1:13" ht="22.5">
      <c r="A229" s="935"/>
      <c r="B229" s="935"/>
      <c r="C229" s="936" t="s">
        <v>576</v>
      </c>
      <c r="D229" s="946" t="s">
        <v>577</v>
      </c>
      <c r="E229" s="951">
        <v>343844</v>
      </c>
      <c r="F229" s="955">
        <f aca="true" t="shared" si="48" ref="F229:F248">G229-E229</f>
        <v>3142.7700000000186</v>
      </c>
      <c r="G229" s="949">
        <v>346986.77</v>
      </c>
      <c r="H229" s="1265">
        <v>340300.15</v>
      </c>
      <c r="I229" s="948">
        <v>0</v>
      </c>
      <c r="J229" s="1250">
        <f t="shared" si="46"/>
        <v>0.980729467005327</v>
      </c>
      <c r="K229" s="941">
        <v>1243.98</v>
      </c>
      <c r="L229" s="941">
        <v>0</v>
      </c>
      <c r="M229" s="940"/>
    </row>
    <row r="230" spans="1:13" ht="22.5">
      <c r="A230" s="935"/>
      <c r="B230" s="935"/>
      <c r="C230" s="936" t="s">
        <v>543</v>
      </c>
      <c r="D230" s="946" t="s">
        <v>12</v>
      </c>
      <c r="E230" s="951">
        <v>9204700</v>
      </c>
      <c r="F230" s="955">
        <f t="shared" si="48"/>
        <v>851046.5</v>
      </c>
      <c r="G230" s="949">
        <v>10055746.5</v>
      </c>
      <c r="H230" s="1265">
        <v>10051775.01</v>
      </c>
      <c r="I230" s="948">
        <v>0</v>
      </c>
      <c r="J230" s="1250">
        <f t="shared" si="46"/>
        <v>0.9996050526930049</v>
      </c>
      <c r="K230" s="941">
        <v>143757.9</v>
      </c>
      <c r="L230" s="941">
        <v>0</v>
      </c>
      <c r="M230" s="940"/>
    </row>
    <row r="231" spans="1:13" ht="12.75">
      <c r="A231" s="935"/>
      <c r="B231" s="935"/>
      <c r="C231" s="936" t="s">
        <v>578</v>
      </c>
      <c r="D231" s="946" t="s">
        <v>579</v>
      </c>
      <c r="E231" s="951">
        <v>774048</v>
      </c>
      <c r="F231" s="955">
        <f t="shared" si="48"/>
        <v>-23689.060000000056</v>
      </c>
      <c r="G231" s="949">
        <v>750358.94</v>
      </c>
      <c r="H231" s="1265">
        <v>750358.94</v>
      </c>
      <c r="I231" s="948">
        <v>0</v>
      </c>
      <c r="J231" s="1250">
        <f t="shared" si="46"/>
        <v>1</v>
      </c>
      <c r="K231" s="941">
        <v>874310.26</v>
      </c>
      <c r="L231" s="941">
        <v>0</v>
      </c>
      <c r="M231" s="940"/>
    </row>
    <row r="232" spans="1:13" ht="12.75">
      <c r="A232" s="935"/>
      <c r="B232" s="935"/>
      <c r="C232" s="936" t="s">
        <v>333</v>
      </c>
      <c r="D232" s="946" t="s">
        <v>13</v>
      </c>
      <c r="E232" s="951">
        <v>1728366</v>
      </c>
      <c r="F232" s="955">
        <f t="shared" si="48"/>
        <v>119646.44999999995</v>
      </c>
      <c r="G232" s="949">
        <v>1848012.45</v>
      </c>
      <c r="H232" s="1265">
        <v>1843809.85</v>
      </c>
      <c r="I232" s="948">
        <v>0</v>
      </c>
      <c r="J232" s="1250">
        <f t="shared" si="46"/>
        <v>0.9977258811216343</v>
      </c>
      <c r="K232" s="941">
        <v>235666.34</v>
      </c>
      <c r="L232" s="941">
        <v>0</v>
      </c>
      <c r="M232" s="940"/>
    </row>
    <row r="233" spans="1:13" ht="33.75">
      <c r="A233" s="935"/>
      <c r="B233" s="935"/>
      <c r="C233" s="936" t="s">
        <v>334</v>
      </c>
      <c r="D233" s="1266" t="s">
        <v>875</v>
      </c>
      <c r="E233" s="951">
        <v>246604</v>
      </c>
      <c r="F233" s="955">
        <f t="shared" si="48"/>
        <v>-41520.16</v>
      </c>
      <c r="G233" s="949">
        <v>205083.84</v>
      </c>
      <c r="H233" s="1265">
        <v>205083.84</v>
      </c>
      <c r="I233" s="948">
        <v>0</v>
      </c>
      <c r="J233" s="1250">
        <f t="shared" si="46"/>
        <v>1</v>
      </c>
      <c r="K233" s="941">
        <v>27649.47</v>
      </c>
      <c r="L233" s="941">
        <v>0</v>
      </c>
      <c r="M233" s="940"/>
    </row>
    <row r="234" spans="1:13" ht="12.75">
      <c r="A234" s="935"/>
      <c r="B234" s="935"/>
      <c r="C234" s="936" t="s">
        <v>331</v>
      </c>
      <c r="D234" s="946" t="s">
        <v>28</v>
      </c>
      <c r="E234" s="951">
        <v>56552</v>
      </c>
      <c r="F234" s="955">
        <f t="shared" si="48"/>
        <v>900</v>
      </c>
      <c r="G234" s="949">
        <v>57452</v>
      </c>
      <c r="H234" s="1265">
        <v>53923.03</v>
      </c>
      <c r="I234" s="948">
        <v>0</v>
      </c>
      <c r="J234" s="1250">
        <f t="shared" si="46"/>
        <v>0.9385753324514376</v>
      </c>
      <c r="K234" s="941">
        <v>381.24</v>
      </c>
      <c r="L234" s="941">
        <v>0</v>
      </c>
      <c r="M234" s="940"/>
    </row>
    <row r="235" spans="1:13" ht="12.75">
      <c r="A235" s="935"/>
      <c r="B235" s="935"/>
      <c r="C235" s="936" t="s">
        <v>324</v>
      </c>
      <c r="D235" s="946" t="s">
        <v>15</v>
      </c>
      <c r="E235" s="951">
        <v>342850</v>
      </c>
      <c r="F235" s="955">
        <f t="shared" si="48"/>
        <v>14363.330000000016</v>
      </c>
      <c r="G235" s="949">
        <v>357213.33</v>
      </c>
      <c r="H235" s="1265">
        <v>348499.94</v>
      </c>
      <c r="I235" s="948">
        <v>0</v>
      </c>
      <c r="J235" s="1250">
        <f t="shared" si="46"/>
        <v>0.9756073212609395</v>
      </c>
      <c r="K235" s="941">
        <v>0</v>
      </c>
      <c r="L235" s="941">
        <v>0</v>
      </c>
      <c r="M235" s="940"/>
    </row>
    <row r="236" spans="1:13" ht="22.5">
      <c r="A236" s="935"/>
      <c r="B236" s="935"/>
      <c r="C236" s="936" t="s">
        <v>631</v>
      </c>
      <c r="D236" s="946" t="s">
        <v>32</v>
      </c>
      <c r="E236" s="951">
        <v>38500</v>
      </c>
      <c r="F236" s="955">
        <f t="shared" si="48"/>
        <v>70900</v>
      </c>
      <c r="G236" s="949">
        <v>109400</v>
      </c>
      <c r="H236" s="1265">
        <v>104118.41</v>
      </c>
      <c r="I236" s="948">
        <v>0</v>
      </c>
      <c r="J236" s="1250">
        <f t="shared" si="46"/>
        <v>0.9517222120658135</v>
      </c>
      <c r="K236" s="941">
        <v>0</v>
      </c>
      <c r="L236" s="941">
        <v>0</v>
      </c>
      <c r="M236" s="940"/>
    </row>
    <row r="237" spans="1:13" ht="12.75">
      <c r="A237" s="935"/>
      <c r="B237" s="935"/>
      <c r="C237" s="936" t="s">
        <v>546</v>
      </c>
      <c r="D237" s="946" t="s">
        <v>37</v>
      </c>
      <c r="E237" s="951">
        <v>405500</v>
      </c>
      <c r="F237" s="955">
        <f t="shared" si="48"/>
        <v>2591.2700000000186</v>
      </c>
      <c r="G237" s="949">
        <v>408091.27</v>
      </c>
      <c r="H237" s="1265">
        <v>373044.08</v>
      </c>
      <c r="I237" s="948">
        <v>0</v>
      </c>
      <c r="J237" s="1250">
        <f t="shared" si="46"/>
        <v>0.9141192361208805</v>
      </c>
      <c r="K237" s="941">
        <v>65915.5</v>
      </c>
      <c r="L237" s="941">
        <v>0</v>
      </c>
      <c r="M237" s="940"/>
    </row>
    <row r="238" spans="1:13" ht="12.75">
      <c r="A238" s="935"/>
      <c r="B238" s="935"/>
      <c r="C238" s="936" t="s">
        <v>552</v>
      </c>
      <c r="D238" s="946" t="s">
        <v>74</v>
      </c>
      <c r="E238" s="951">
        <v>132473</v>
      </c>
      <c r="F238" s="955">
        <f t="shared" si="48"/>
        <v>3742</v>
      </c>
      <c r="G238" s="949">
        <v>136215</v>
      </c>
      <c r="H238" s="1265">
        <v>134720.89</v>
      </c>
      <c r="I238" s="948">
        <v>0</v>
      </c>
      <c r="J238" s="1250">
        <f t="shared" si="46"/>
        <v>0.9890312373820799</v>
      </c>
      <c r="K238" s="941">
        <v>0</v>
      </c>
      <c r="L238" s="941">
        <v>0</v>
      </c>
      <c r="M238" s="940"/>
    </row>
    <row r="239" spans="1:13" ht="12.75">
      <c r="A239" s="935"/>
      <c r="B239" s="935"/>
      <c r="C239" s="936" t="s">
        <v>592</v>
      </c>
      <c r="D239" s="946" t="s">
        <v>38</v>
      </c>
      <c r="E239" s="951">
        <v>25340</v>
      </c>
      <c r="F239" s="955">
        <f t="shared" si="48"/>
        <v>-1993</v>
      </c>
      <c r="G239" s="949">
        <v>23347</v>
      </c>
      <c r="H239" s="1265">
        <v>15317</v>
      </c>
      <c r="I239" s="948">
        <v>0</v>
      </c>
      <c r="J239" s="1250">
        <f t="shared" si="46"/>
        <v>0.6560585942519381</v>
      </c>
      <c r="K239" s="941">
        <v>0</v>
      </c>
      <c r="L239" s="941">
        <v>0</v>
      </c>
      <c r="M239" s="940"/>
    </row>
    <row r="240" spans="1:13" ht="12.75">
      <c r="A240" s="935"/>
      <c r="B240" s="935"/>
      <c r="C240" s="936" t="s">
        <v>325</v>
      </c>
      <c r="D240" s="946" t="s">
        <v>16</v>
      </c>
      <c r="E240" s="951">
        <v>229200</v>
      </c>
      <c r="F240" s="955">
        <f t="shared" si="48"/>
        <v>50257.01000000001</v>
      </c>
      <c r="G240" s="949">
        <v>279457.01</v>
      </c>
      <c r="H240" s="1265">
        <v>251304.42</v>
      </c>
      <c r="I240" s="948">
        <v>0</v>
      </c>
      <c r="J240" s="1250">
        <f t="shared" si="46"/>
        <v>0.8992596750391053</v>
      </c>
      <c r="K240" s="941">
        <v>5460.44</v>
      </c>
      <c r="L240" s="941">
        <v>0</v>
      </c>
      <c r="M240" s="940"/>
    </row>
    <row r="241" spans="1:13" ht="33.75">
      <c r="A241" s="935"/>
      <c r="B241" s="935"/>
      <c r="C241" s="936" t="s">
        <v>632</v>
      </c>
      <c r="D241" s="946" t="s">
        <v>633</v>
      </c>
      <c r="E241" s="951">
        <v>82500</v>
      </c>
      <c r="F241" s="955">
        <f t="shared" si="48"/>
        <v>-34392</v>
      </c>
      <c r="G241" s="949">
        <v>48108</v>
      </c>
      <c r="H241" s="1265">
        <v>48105.3</v>
      </c>
      <c r="I241" s="948">
        <v>0</v>
      </c>
      <c r="J241" s="1250">
        <f t="shared" si="46"/>
        <v>0.9999438762783737</v>
      </c>
      <c r="K241" s="941">
        <v>0</v>
      </c>
      <c r="L241" s="941">
        <v>0</v>
      </c>
      <c r="M241" s="940"/>
    </row>
    <row r="242" spans="1:13" ht="22.5">
      <c r="A242" s="935"/>
      <c r="B242" s="935"/>
      <c r="C242" s="936" t="s">
        <v>335</v>
      </c>
      <c r="D242" s="946" t="s">
        <v>553</v>
      </c>
      <c r="E242" s="951">
        <v>41220</v>
      </c>
      <c r="F242" s="955">
        <f t="shared" si="48"/>
        <v>2100</v>
      </c>
      <c r="G242" s="949">
        <v>43320</v>
      </c>
      <c r="H242" s="1265">
        <v>34626.58</v>
      </c>
      <c r="I242" s="948">
        <v>0</v>
      </c>
      <c r="J242" s="1250">
        <f t="shared" si="46"/>
        <v>0.7993208679593722</v>
      </c>
      <c r="K242" s="941">
        <v>0</v>
      </c>
      <c r="L242" s="941">
        <v>0</v>
      </c>
      <c r="M242" s="940"/>
    </row>
    <row r="243" spans="1:13" ht="12.75">
      <c r="A243" s="935"/>
      <c r="B243" s="935"/>
      <c r="C243" s="936" t="s">
        <v>597</v>
      </c>
      <c r="D243" s="946" t="s">
        <v>22</v>
      </c>
      <c r="E243" s="951">
        <v>11600</v>
      </c>
      <c r="F243" s="955">
        <f t="shared" si="48"/>
        <v>800</v>
      </c>
      <c r="G243" s="949">
        <v>12400</v>
      </c>
      <c r="H243" s="1265">
        <v>7492.2</v>
      </c>
      <c r="I243" s="948">
        <v>0</v>
      </c>
      <c r="J243" s="1250">
        <f t="shared" si="46"/>
        <v>0.6042096774193548</v>
      </c>
      <c r="K243" s="941">
        <v>86</v>
      </c>
      <c r="L243" s="941">
        <v>0</v>
      </c>
      <c r="M243" s="940"/>
    </row>
    <row r="244" spans="1:13" ht="12.75">
      <c r="A244" s="935"/>
      <c r="B244" s="935"/>
      <c r="C244" s="936" t="s">
        <v>544</v>
      </c>
      <c r="D244" s="946" t="s">
        <v>17</v>
      </c>
      <c r="E244" s="951">
        <v>13900</v>
      </c>
      <c r="F244" s="955">
        <f t="shared" si="48"/>
        <v>-3311</v>
      </c>
      <c r="G244" s="949">
        <v>10589</v>
      </c>
      <c r="H244" s="1265">
        <v>8824.5</v>
      </c>
      <c r="I244" s="948">
        <v>0</v>
      </c>
      <c r="J244" s="1250">
        <f t="shared" si="46"/>
        <v>0.8333648125413164</v>
      </c>
      <c r="K244" s="941">
        <v>83.75</v>
      </c>
      <c r="L244" s="941">
        <v>0</v>
      </c>
      <c r="M244" s="940"/>
    </row>
    <row r="245" spans="1:13" ht="22.5">
      <c r="A245" s="935"/>
      <c r="B245" s="935"/>
      <c r="C245" s="936" t="s">
        <v>598</v>
      </c>
      <c r="D245" s="946" t="s">
        <v>40</v>
      </c>
      <c r="E245" s="951">
        <v>511990</v>
      </c>
      <c r="F245" s="955">
        <f t="shared" si="48"/>
        <v>38331</v>
      </c>
      <c r="G245" s="949">
        <v>550321</v>
      </c>
      <c r="H245" s="1265">
        <v>550321</v>
      </c>
      <c r="I245" s="948">
        <v>0</v>
      </c>
      <c r="J245" s="1250">
        <f t="shared" si="46"/>
        <v>1</v>
      </c>
      <c r="K245" s="941">
        <v>0</v>
      </c>
      <c r="L245" s="941">
        <v>0</v>
      </c>
      <c r="M245" s="940"/>
    </row>
    <row r="246" spans="1:13" ht="12.75">
      <c r="A246" s="935"/>
      <c r="B246" s="935"/>
      <c r="C246" s="936" t="s">
        <v>634</v>
      </c>
      <c r="D246" s="946" t="s">
        <v>635</v>
      </c>
      <c r="E246" s="951">
        <v>1000</v>
      </c>
      <c r="F246" s="955">
        <f t="shared" si="48"/>
        <v>-897</v>
      </c>
      <c r="G246" s="949" t="s">
        <v>636</v>
      </c>
      <c r="H246" s="1265">
        <v>103</v>
      </c>
      <c r="I246" s="948">
        <v>0</v>
      </c>
      <c r="J246" s="1250">
        <f t="shared" si="46"/>
        <v>1</v>
      </c>
      <c r="K246" s="941">
        <v>0</v>
      </c>
      <c r="L246" s="941">
        <v>0</v>
      </c>
      <c r="M246" s="940"/>
    </row>
    <row r="247" spans="1:13" ht="22.5">
      <c r="A247" s="935"/>
      <c r="B247" s="935"/>
      <c r="C247" s="936" t="s">
        <v>580</v>
      </c>
      <c r="D247" s="946" t="s">
        <v>581</v>
      </c>
      <c r="E247" s="951">
        <v>2500</v>
      </c>
      <c r="F247" s="955">
        <f t="shared" si="48"/>
        <v>0</v>
      </c>
      <c r="G247" s="949">
        <v>2500</v>
      </c>
      <c r="H247" s="1265">
        <v>2144</v>
      </c>
      <c r="I247" s="948">
        <v>0</v>
      </c>
      <c r="J247" s="1250">
        <f t="shared" si="46"/>
        <v>0.8576</v>
      </c>
      <c r="K247" s="941">
        <v>0</v>
      </c>
      <c r="L247" s="941">
        <v>0</v>
      </c>
      <c r="M247" s="940"/>
    </row>
    <row r="248" spans="1:13" ht="22.5">
      <c r="A248" s="935"/>
      <c r="B248" s="935"/>
      <c r="C248" s="936" t="s">
        <v>127</v>
      </c>
      <c r="D248" s="946" t="s">
        <v>41</v>
      </c>
      <c r="E248" s="951">
        <v>743414</v>
      </c>
      <c r="F248" s="955">
        <f t="shared" si="48"/>
        <v>-119975.40000000002</v>
      </c>
      <c r="G248" s="949">
        <v>623438.6</v>
      </c>
      <c r="H248" s="958">
        <v>618738.96</v>
      </c>
      <c r="I248" s="941">
        <v>0</v>
      </c>
      <c r="J248" s="1250">
        <f t="shared" si="46"/>
        <v>0.9924617436263972</v>
      </c>
      <c r="K248" s="941">
        <v>0</v>
      </c>
      <c r="L248" s="941">
        <v>0</v>
      </c>
      <c r="M248" s="940"/>
    </row>
    <row r="249" spans="1:13" ht="22.5">
      <c r="A249" s="932"/>
      <c r="B249" s="938" t="s">
        <v>474</v>
      </c>
      <c r="C249" s="933"/>
      <c r="D249" s="945" t="s">
        <v>475</v>
      </c>
      <c r="E249" s="950">
        <f>E250+E251+E252+E253+E254+E255+E256+E257+E258+E259+E260+E261+E262</f>
        <v>786236</v>
      </c>
      <c r="F249" s="954">
        <f aca="true" t="shared" si="49" ref="F249:L249">F250+F251+F252+F253+F254+F255+F256+F257+F258+F259+F260+F261+F262</f>
        <v>-24115.550000000003</v>
      </c>
      <c r="G249" s="947">
        <f t="shared" si="49"/>
        <v>762120.45</v>
      </c>
      <c r="H249" s="950">
        <f t="shared" si="49"/>
        <v>745072.71</v>
      </c>
      <c r="I249" s="954">
        <f t="shared" si="49"/>
        <v>0</v>
      </c>
      <c r="J249" s="959">
        <f t="shared" si="46"/>
        <v>0.9776311736550305</v>
      </c>
      <c r="K249" s="954">
        <f t="shared" si="49"/>
        <v>65862.40999999999</v>
      </c>
      <c r="L249" s="1439">
        <f t="shared" si="49"/>
        <v>0</v>
      </c>
      <c r="M249" s="940"/>
    </row>
    <row r="250" spans="1:13" ht="22.5">
      <c r="A250" s="935"/>
      <c r="B250" s="935"/>
      <c r="C250" s="936" t="s">
        <v>576</v>
      </c>
      <c r="D250" s="946" t="s">
        <v>577</v>
      </c>
      <c r="E250" s="951">
        <v>4164</v>
      </c>
      <c r="F250" s="955">
        <f>G250-E250</f>
        <v>-2234</v>
      </c>
      <c r="G250" s="949">
        <v>1930</v>
      </c>
      <c r="H250" s="958">
        <v>1631.72</v>
      </c>
      <c r="I250" s="941">
        <v>0</v>
      </c>
      <c r="J250" s="1250">
        <f t="shared" si="46"/>
        <v>0.8454507772020725</v>
      </c>
      <c r="K250" s="941">
        <v>0</v>
      </c>
      <c r="L250" s="941">
        <v>0</v>
      </c>
      <c r="M250" s="940"/>
    </row>
    <row r="251" spans="1:13" ht="22.5">
      <c r="A251" s="935"/>
      <c r="B251" s="935"/>
      <c r="C251" s="936" t="s">
        <v>543</v>
      </c>
      <c r="D251" s="946" t="s">
        <v>12</v>
      </c>
      <c r="E251" s="951">
        <v>514900</v>
      </c>
      <c r="F251" s="955">
        <f aca="true" t="shared" si="50" ref="F251:F262">G251-E251</f>
        <v>-5360</v>
      </c>
      <c r="G251" s="949">
        <v>509540</v>
      </c>
      <c r="H251" s="958">
        <v>506587.15</v>
      </c>
      <c r="I251" s="941">
        <v>0</v>
      </c>
      <c r="J251" s="1250">
        <f t="shared" si="46"/>
        <v>0.994204871060172</v>
      </c>
      <c r="K251" s="941">
        <v>2978.45</v>
      </c>
      <c r="L251" s="941">
        <v>0</v>
      </c>
      <c r="M251" s="940"/>
    </row>
    <row r="252" spans="1:13" ht="12.75">
      <c r="A252" s="935"/>
      <c r="B252" s="935"/>
      <c r="C252" s="936" t="s">
        <v>578</v>
      </c>
      <c r="D252" s="946" t="s">
        <v>579</v>
      </c>
      <c r="E252" s="951">
        <v>49004</v>
      </c>
      <c r="F252" s="955">
        <f t="shared" si="50"/>
        <v>-10187.550000000003</v>
      </c>
      <c r="G252" s="949">
        <v>38816.45</v>
      </c>
      <c r="H252" s="958">
        <v>38816.45</v>
      </c>
      <c r="I252" s="941">
        <v>0</v>
      </c>
      <c r="J252" s="1250">
        <f t="shared" si="46"/>
        <v>1</v>
      </c>
      <c r="K252" s="941">
        <v>45907.7</v>
      </c>
      <c r="L252" s="941">
        <v>0</v>
      </c>
      <c r="M252" s="940"/>
    </row>
    <row r="253" spans="1:13" ht="12.75">
      <c r="A253" s="935"/>
      <c r="B253" s="935"/>
      <c r="C253" s="936" t="s">
        <v>333</v>
      </c>
      <c r="D253" s="946" t="s">
        <v>13</v>
      </c>
      <c r="E253" s="951">
        <v>95448</v>
      </c>
      <c r="F253" s="955">
        <f t="shared" si="50"/>
        <v>-2900</v>
      </c>
      <c r="G253" s="949">
        <v>92548</v>
      </c>
      <c r="H253" s="958">
        <v>92203.27</v>
      </c>
      <c r="I253" s="941">
        <v>0</v>
      </c>
      <c r="J253" s="1250">
        <f t="shared" si="46"/>
        <v>0.9962751220988029</v>
      </c>
      <c r="K253" s="941">
        <v>10777.6</v>
      </c>
      <c r="L253" s="941">
        <v>0</v>
      </c>
      <c r="M253" s="940"/>
    </row>
    <row r="254" spans="1:13" ht="33.75">
      <c r="A254" s="935"/>
      <c r="B254" s="935"/>
      <c r="C254" s="936" t="s">
        <v>334</v>
      </c>
      <c r="D254" s="1266" t="s">
        <v>875</v>
      </c>
      <c r="E254" s="951">
        <v>13645</v>
      </c>
      <c r="F254" s="955">
        <f t="shared" si="50"/>
        <v>-2300</v>
      </c>
      <c r="G254" s="949">
        <v>11345</v>
      </c>
      <c r="H254" s="958">
        <v>11253.53</v>
      </c>
      <c r="I254" s="941">
        <v>0</v>
      </c>
      <c r="J254" s="1250">
        <f t="shared" si="46"/>
        <v>0.9919374173644778</v>
      </c>
      <c r="K254" s="941">
        <v>1085.25</v>
      </c>
      <c r="L254" s="941">
        <v>0</v>
      </c>
      <c r="M254" s="940"/>
    </row>
    <row r="255" spans="1:13" ht="12.75">
      <c r="A255" s="935"/>
      <c r="B255" s="935"/>
      <c r="C255" s="936" t="s">
        <v>324</v>
      </c>
      <c r="D255" s="946" t="s">
        <v>15</v>
      </c>
      <c r="E255" s="951">
        <v>27600</v>
      </c>
      <c r="F255" s="955">
        <f t="shared" si="50"/>
        <v>-8500</v>
      </c>
      <c r="G255" s="949">
        <v>19100</v>
      </c>
      <c r="H255" s="958">
        <v>19095.99</v>
      </c>
      <c r="I255" s="941">
        <v>0</v>
      </c>
      <c r="J255" s="1250">
        <f t="shared" si="46"/>
        <v>0.999790052356021</v>
      </c>
      <c r="K255" s="941">
        <v>0</v>
      </c>
      <c r="L255" s="941">
        <v>0</v>
      </c>
      <c r="M255" s="940"/>
    </row>
    <row r="256" spans="1:13" ht="22.5">
      <c r="A256" s="935"/>
      <c r="B256" s="935"/>
      <c r="C256" s="936" t="s">
        <v>631</v>
      </c>
      <c r="D256" s="946" t="s">
        <v>32</v>
      </c>
      <c r="E256" s="951">
        <v>3500</v>
      </c>
      <c r="F256" s="955">
        <f t="shared" si="50"/>
        <v>0</v>
      </c>
      <c r="G256" s="949" t="s">
        <v>410</v>
      </c>
      <c r="H256" s="958">
        <v>3029.39</v>
      </c>
      <c r="I256" s="941">
        <v>0</v>
      </c>
      <c r="J256" s="1250">
        <f t="shared" si="46"/>
        <v>0.86554</v>
      </c>
      <c r="K256" s="941">
        <v>0</v>
      </c>
      <c r="L256" s="941">
        <v>0</v>
      </c>
      <c r="M256" s="940"/>
    </row>
    <row r="257" spans="1:13" ht="12.75">
      <c r="A257" s="935"/>
      <c r="B257" s="935"/>
      <c r="C257" s="936" t="s">
        <v>546</v>
      </c>
      <c r="D257" s="946" t="s">
        <v>37</v>
      </c>
      <c r="E257" s="951">
        <v>21000</v>
      </c>
      <c r="F257" s="955">
        <f t="shared" si="50"/>
        <v>0</v>
      </c>
      <c r="G257" s="949">
        <v>21000</v>
      </c>
      <c r="H257" s="941">
        <v>11190.62</v>
      </c>
      <c r="I257" s="941">
        <v>0</v>
      </c>
      <c r="J257" s="1250">
        <f t="shared" si="46"/>
        <v>0.5328866666666667</v>
      </c>
      <c r="K257" s="941">
        <v>5113.41</v>
      </c>
      <c r="L257" s="941">
        <v>0</v>
      </c>
      <c r="M257" s="940"/>
    </row>
    <row r="258" spans="1:13" ht="12.75">
      <c r="A258" s="935"/>
      <c r="B258" s="935"/>
      <c r="C258" s="936" t="s">
        <v>552</v>
      </c>
      <c r="D258" s="946" t="s">
        <v>74</v>
      </c>
      <c r="E258" s="951">
        <v>16000</v>
      </c>
      <c r="F258" s="955">
        <f t="shared" si="50"/>
        <v>8100</v>
      </c>
      <c r="G258" s="949">
        <v>24100</v>
      </c>
      <c r="H258" s="941">
        <v>23142.17</v>
      </c>
      <c r="I258" s="941">
        <v>0</v>
      </c>
      <c r="J258" s="1250">
        <f t="shared" si="46"/>
        <v>0.9602560165975103</v>
      </c>
      <c r="K258" s="941">
        <v>0</v>
      </c>
      <c r="L258" s="941">
        <v>0</v>
      </c>
      <c r="M258" s="940"/>
    </row>
    <row r="259" spans="1:13" ht="12.75">
      <c r="A259" s="935"/>
      <c r="B259" s="935"/>
      <c r="C259" s="936" t="s">
        <v>592</v>
      </c>
      <c r="D259" s="946" t="s">
        <v>38</v>
      </c>
      <c r="E259" s="951">
        <v>1200</v>
      </c>
      <c r="F259" s="955">
        <f t="shared" si="50"/>
        <v>0</v>
      </c>
      <c r="G259" s="949">
        <v>1200</v>
      </c>
      <c r="H259" s="941">
        <v>0</v>
      </c>
      <c r="I259" s="941">
        <v>0</v>
      </c>
      <c r="J259" s="1250">
        <v>0</v>
      </c>
      <c r="K259" s="941">
        <v>0</v>
      </c>
      <c r="L259" s="941">
        <v>0</v>
      </c>
      <c r="M259" s="940"/>
    </row>
    <row r="260" spans="1:13" ht="12.75">
      <c r="A260" s="935"/>
      <c r="B260" s="935"/>
      <c r="C260" s="936" t="s">
        <v>325</v>
      </c>
      <c r="D260" s="946" t="s">
        <v>16</v>
      </c>
      <c r="E260" s="951">
        <v>4100</v>
      </c>
      <c r="F260" s="955">
        <f t="shared" si="50"/>
        <v>500</v>
      </c>
      <c r="G260" s="949">
        <v>4600</v>
      </c>
      <c r="H260" s="941">
        <v>4159.73</v>
      </c>
      <c r="I260" s="941">
        <v>0</v>
      </c>
      <c r="J260" s="1250">
        <f t="shared" si="46"/>
        <v>0.9042891304347825</v>
      </c>
      <c r="K260" s="941">
        <v>0</v>
      </c>
      <c r="L260" s="941">
        <v>0</v>
      </c>
      <c r="M260" s="940"/>
    </row>
    <row r="261" spans="1:13" ht="22.5">
      <c r="A261" s="935"/>
      <c r="B261" s="935"/>
      <c r="C261" s="936" t="s">
        <v>335</v>
      </c>
      <c r="D261" s="946" t="s">
        <v>553</v>
      </c>
      <c r="E261" s="951">
        <v>1000</v>
      </c>
      <c r="F261" s="955">
        <f t="shared" si="50"/>
        <v>0</v>
      </c>
      <c r="G261" s="949" t="s">
        <v>404</v>
      </c>
      <c r="H261" s="958">
        <v>521.69</v>
      </c>
      <c r="I261" s="941">
        <v>0</v>
      </c>
      <c r="J261" s="1250">
        <f t="shared" si="46"/>
        <v>0.5216900000000001</v>
      </c>
      <c r="K261" s="941">
        <v>0</v>
      </c>
      <c r="L261" s="941">
        <v>0</v>
      </c>
      <c r="M261" s="940"/>
    </row>
    <row r="262" spans="1:13" ht="22.5">
      <c r="A262" s="935"/>
      <c r="B262" s="935"/>
      <c r="C262" s="936" t="s">
        <v>598</v>
      </c>
      <c r="D262" s="946" t="s">
        <v>40</v>
      </c>
      <c r="E262" s="951">
        <v>34675</v>
      </c>
      <c r="F262" s="955">
        <f t="shared" si="50"/>
        <v>-1234</v>
      </c>
      <c r="G262" s="949">
        <v>33441</v>
      </c>
      <c r="H262" s="958">
        <v>33441</v>
      </c>
      <c r="I262" s="941">
        <v>0</v>
      </c>
      <c r="J262" s="1250">
        <f t="shared" si="46"/>
        <v>1</v>
      </c>
      <c r="K262" s="941">
        <v>0</v>
      </c>
      <c r="L262" s="941">
        <v>0</v>
      </c>
      <c r="M262" s="940"/>
    </row>
    <row r="263" spans="1:13" ht="15">
      <c r="A263" s="932"/>
      <c r="B263" s="938" t="s">
        <v>327</v>
      </c>
      <c r="C263" s="933"/>
      <c r="D263" s="945" t="s">
        <v>476</v>
      </c>
      <c r="E263" s="950">
        <f>E264+E265+E266+E267+E268+E269+E270+E271+E272+E273+E274+E275+E276+E277+E278+E279+E280+E281+E282+E283+E284+E285+E286</f>
        <v>6354421</v>
      </c>
      <c r="F263" s="950">
        <f>F264+F265+F266+F267+F268+F269+F270+F271+F272+F273+F274+F275+F276+F277+F278+F279+F280+F281+F282+F283+F284+F285+F286</f>
        <v>1155.9999999998254</v>
      </c>
      <c r="G263" s="950">
        <f>G264+G265+G266+G267+G268+G269+G270+G271+G272+G273+G274+G275+G276+G277+G278+G279+G280+G281+G282+G283+G284+G285+G286</f>
        <v>6355577</v>
      </c>
      <c r="H263" s="950">
        <f>H264+H265+H266+H267+H268+H269+H270+H271+H272+H273+H274+H275+H276+H277+H278+H279+H280+H281+H282+H283+H284+H285+H286</f>
        <v>6071540.290000001</v>
      </c>
      <c r="I263" s="950">
        <f>I264+I265+I266+I267+I268+I269+I270+I271+I272+I273+I274+I275+I276+I277+I278+I279+I280+I281+I282+I283+I284+I285+I286</f>
        <v>0</v>
      </c>
      <c r="J263" s="959">
        <f t="shared" si="46"/>
        <v>0.9553090600585912</v>
      </c>
      <c r="K263" s="954">
        <f>K264+K265+K266+K267+K268+K269+K270+K271+K272+K273+K274+K275+K276+K277+K278+K279+K280+K281+K282+K283+K284+K285+K286</f>
        <v>317228.64</v>
      </c>
      <c r="L263" s="1439">
        <f>L264+L265+L266+L267+L268+L269+L270+L271+L272+L273+L274+L275+L276+L277+L278+L279+L280+L281+L282+L283+L284+L285</f>
        <v>500</v>
      </c>
      <c r="M263" s="940"/>
    </row>
    <row r="264" spans="1:13" ht="45">
      <c r="A264" s="935"/>
      <c r="B264" s="935"/>
      <c r="C264" s="936" t="s">
        <v>481</v>
      </c>
      <c r="D264" s="946" t="s">
        <v>549</v>
      </c>
      <c r="E264" s="951">
        <v>40000</v>
      </c>
      <c r="F264" s="955">
        <f>G264-E264</f>
        <v>8000</v>
      </c>
      <c r="G264" s="949">
        <v>48000</v>
      </c>
      <c r="H264" s="958">
        <v>45116.86</v>
      </c>
      <c r="I264" s="941">
        <v>0</v>
      </c>
      <c r="J264" s="1250">
        <f t="shared" si="46"/>
        <v>0.9399345833333334</v>
      </c>
      <c r="K264" s="941">
        <v>3433.9</v>
      </c>
      <c r="L264" s="941">
        <v>0</v>
      </c>
      <c r="M264" s="940"/>
    </row>
    <row r="265" spans="1:13" ht="22.5">
      <c r="A265" s="935"/>
      <c r="B265" s="935"/>
      <c r="C265" s="936" t="s">
        <v>637</v>
      </c>
      <c r="D265" s="946" t="s">
        <v>259</v>
      </c>
      <c r="E265" s="951">
        <v>1560000</v>
      </c>
      <c r="F265" s="955">
        <f aca="true" t="shared" si="51" ref="F265:F286">G265-E265</f>
        <v>-8000</v>
      </c>
      <c r="G265" s="949">
        <v>1552000</v>
      </c>
      <c r="H265" s="958">
        <v>1349964.01</v>
      </c>
      <c r="I265" s="941">
        <v>0</v>
      </c>
      <c r="J265" s="1250">
        <f t="shared" si="46"/>
        <v>0.8698221713917526</v>
      </c>
      <c r="K265" s="941">
        <v>0</v>
      </c>
      <c r="L265" s="941">
        <v>0</v>
      </c>
      <c r="M265" s="940"/>
    </row>
    <row r="266" spans="1:13" ht="22.5">
      <c r="A266" s="935"/>
      <c r="B266" s="935"/>
      <c r="C266" s="936" t="s">
        <v>576</v>
      </c>
      <c r="D266" s="946" t="s">
        <v>577</v>
      </c>
      <c r="E266" s="951">
        <v>61337</v>
      </c>
      <c r="F266" s="955">
        <f t="shared" si="51"/>
        <v>-3583</v>
      </c>
      <c r="G266" s="949">
        <v>57754</v>
      </c>
      <c r="H266" s="958">
        <v>55377.01</v>
      </c>
      <c r="I266" s="941">
        <v>0</v>
      </c>
      <c r="J266" s="1250">
        <f t="shared" si="46"/>
        <v>0.9588428507116391</v>
      </c>
      <c r="K266" s="941">
        <v>0</v>
      </c>
      <c r="L266" s="941">
        <v>0</v>
      </c>
      <c r="M266" s="940"/>
    </row>
    <row r="267" spans="1:13" ht="22.5">
      <c r="A267" s="935"/>
      <c r="B267" s="935"/>
      <c r="C267" s="936" t="s">
        <v>543</v>
      </c>
      <c r="D267" s="946" t="s">
        <v>12</v>
      </c>
      <c r="E267" s="951">
        <v>2743400</v>
      </c>
      <c r="F267" s="955">
        <f t="shared" si="51"/>
        <v>61199.549999999814</v>
      </c>
      <c r="G267" s="949">
        <v>2804599.55</v>
      </c>
      <c r="H267" s="958">
        <v>2803415.9</v>
      </c>
      <c r="I267" s="941">
        <v>0</v>
      </c>
      <c r="J267" s="1250">
        <f t="shared" si="46"/>
        <v>0.9995779611388728</v>
      </c>
      <c r="K267" s="941">
        <v>16846.05</v>
      </c>
      <c r="L267" s="941">
        <v>0</v>
      </c>
      <c r="M267" s="940"/>
    </row>
    <row r="268" spans="1:13" ht="12.75">
      <c r="A268" s="935"/>
      <c r="B268" s="935"/>
      <c r="C268" s="936" t="s">
        <v>578</v>
      </c>
      <c r="D268" s="946" t="s">
        <v>579</v>
      </c>
      <c r="E268" s="951">
        <v>205723</v>
      </c>
      <c r="F268" s="955">
        <f t="shared" si="51"/>
        <v>-7400.549999999988</v>
      </c>
      <c r="G268" s="949">
        <v>198322.45</v>
      </c>
      <c r="H268" s="958">
        <v>198322.45</v>
      </c>
      <c r="I268" s="941">
        <v>0</v>
      </c>
      <c r="J268" s="1250">
        <f t="shared" si="46"/>
        <v>1</v>
      </c>
      <c r="K268" s="941">
        <v>212494.05</v>
      </c>
      <c r="L268" s="941">
        <v>0</v>
      </c>
      <c r="M268" s="940"/>
    </row>
    <row r="269" spans="1:13" ht="12.75">
      <c r="A269" s="935"/>
      <c r="B269" s="935"/>
      <c r="C269" s="936" t="s">
        <v>333</v>
      </c>
      <c r="D269" s="946" t="s">
        <v>13</v>
      </c>
      <c r="E269" s="951">
        <v>488936</v>
      </c>
      <c r="F269" s="955">
        <f t="shared" si="51"/>
        <v>900</v>
      </c>
      <c r="G269" s="949">
        <v>489836</v>
      </c>
      <c r="H269" s="958">
        <v>488949.63</v>
      </c>
      <c r="I269" s="941">
        <v>0</v>
      </c>
      <c r="J269" s="1250">
        <f t="shared" si="46"/>
        <v>0.9981904759960477</v>
      </c>
      <c r="K269" s="941">
        <v>54704.82</v>
      </c>
      <c r="L269" s="941">
        <v>0</v>
      </c>
      <c r="M269" s="940"/>
    </row>
    <row r="270" spans="1:13" ht="33.75">
      <c r="A270" s="935"/>
      <c r="B270" s="935"/>
      <c r="C270" s="936" t="s">
        <v>334</v>
      </c>
      <c r="D270" s="1266" t="s">
        <v>875</v>
      </c>
      <c r="E270" s="951">
        <v>69426</v>
      </c>
      <c r="F270" s="955">
        <f t="shared" si="51"/>
        <v>-13195</v>
      </c>
      <c r="G270" s="949">
        <v>56231</v>
      </c>
      <c r="H270" s="958">
        <v>55774.5</v>
      </c>
      <c r="I270" s="941">
        <v>0</v>
      </c>
      <c r="J270" s="1250">
        <f t="shared" si="46"/>
        <v>0.9918817022638758</v>
      </c>
      <c r="K270" s="941">
        <v>5874.42</v>
      </c>
      <c r="L270" s="941">
        <v>0</v>
      </c>
      <c r="M270" s="940"/>
    </row>
    <row r="271" spans="1:13" ht="12.75">
      <c r="A271" s="935"/>
      <c r="B271" s="935"/>
      <c r="C271" s="936" t="s">
        <v>331</v>
      </c>
      <c r="D271" s="946" t="s">
        <v>28</v>
      </c>
      <c r="E271" s="951">
        <v>8500</v>
      </c>
      <c r="F271" s="955">
        <f t="shared" si="51"/>
        <v>-3500</v>
      </c>
      <c r="G271" s="949">
        <v>5000</v>
      </c>
      <c r="H271" s="958">
        <v>4500</v>
      </c>
      <c r="I271" s="941">
        <v>0</v>
      </c>
      <c r="J271" s="1250">
        <f t="shared" si="46"/>
        <v>0.9</v>
      </c>
      <c r="K271" s="941">
        <v>0</v>
      </c>
      <c r="L271" s="941">
        <v>0</v>
      </c>
      <c r="M271" s="940"/>
    </row>
    <row r="272" spans="1:13" ht="12.75">
      <c r="A272" s="935"/>
      <c r="B272" s="935"/>
      <c r="C272" s="936" t="s">
        <v>324</v>
      </c>
      <c r="D272" s="946" t="s">
        <v>15</v>
      </c>
      <c r="E272" s="951">
        <v>146000</v>
      </c>
      <c r="F272" s="955">
        <f t="shared" si="51"/>
        <v>-8300</v>
      </c>
      <c r="G272" s="949">
        <v>137700</v>
      </c>
      <c r="H272" s="958">
        <v>135838.07</v>
      </c>
      <c r="I272" s="941">
        <v>0</v>
      </c>
      <c r="J272" s="1250">
        <f t="shared" si="46"/>
        <v>0.9864783587509078</v>
      </c>
      <c r="K272" s="941">
        <v>0</v>
      </c>
      <c r="L272" s="941">
        <v>500</v>
      </c>
      <c r="M272" s="940"/>
    </row>
    <row r="273" spans="1:13" ht="12.75">
      <c r="A273" s="935"/>
      <c r="B273" s="935"/>
      <c r="C273" s="936" t="s">
        <v>638</v>
      </c>
      <c r="D273" s="946" t="s">
        <v>36</v>
      </c>
      <c r="E273" s="951">
        <v>434430</v>
      </c>
      <c r="F273" s="955">
        <f t="shared" si="51"/>
        <v>-64000</v>
      </c>
      <c r="G273" s="949">
        <v>370430</v>
      </c>
      <c r="H273" s="958">
        <v>359214.82</v>
      </c>
      <c r="I273" s="941">
        <v>0</v>
      </c>
      <c r="J273" s="1250">
        <f t="shared" si="46"/>
        <v>0.969723888453959</v>
      </c>
      <c r="K273" s="941">
        <v>0</v>
      </c>
      <c r="L273" s="941">
        <v>0</v>
      </c>
      <c r="M273" s="940"/>
    </row>
    <row r="274" spans="1:13" ht="22.5">
      <c r="A274" s="935"/>
      <c r="B274" s="935"/>
      <c r="C274" s="936" t="s">
        <v>631</v>
      </c>
      <c r="D274" s="946" t="s">
        <v>32</v>
      </c>
      <c r="E274" s="951">
        <v>20000</v>
      </c>
      <c r="F274" s="955">
        <f t="shared" si="51"/>
        <v>999</v>
      </c>
      <c r="G274" s="949">
        <v>20999</v>
      </c>
      <c r="H274" s="958">
        <v>20624.65</v>
      </c>
      <c r="I274" s="941">
        <v>0</v>
      </c>
      <c r="J274" s="1250">
        <f t="shared" si="46"/>
        <v>0.9821729606171723</v>
      </c>
      <c r="K274" s="941">
        <v>0</v>
      </c>
      <c r="L274" s="941">
        <v>0</v>
      </c>
      <c r="M274" s="940"/>
    </row>
    <row r="275" spans="1:13" ht="12.75">
      <c r="A275" s="935"/>
      <c r="B275" s="935"/>
      <c r="C275" s="936" t="s">
        <v>546</v>
      </c>
      <c r="D275" s="946" t="s">
        <v>37</v>
      </c>
      <c r="E275" s="951">
        <v>253000</v>
      </c>
      <c r="F275" s="955">
        <f t="shared" si="51"/>
        <v>-8000</v>
      </c>
      <c r="G275" s="949">
        <v>245000</v>
      </c>
      <c r="H275" s="958">
        <v>216190.37</v>
      </c>
      <c r="I275" s="941">
        <v>0</v>
      </c>
      <c r="J275" s="1250">
        <f t="shared" si="46"/>
        <v>0.8824096734693877</v>
      </c>
      <c r="K275" s="941">
        <v>21938.44</v>
      </c>
      <c r="L275" s="941">
        <v>0</v>
      </c>
      <c r="M275" s="940"/>
    </row>
    <row r="276" spans="1:13" ht="12.75">
      <c r="A276" s="935"/>
      <c r="B276" s="935"/>
      <c r="C276" s="936" t="s">
        <v>552</v>
      </c>
      <c r="D276" s="946" t="s">
        <v>74</v>
      </c>
      <c r="E276" s="951">
        <v>16500</v>
      </c>
      <c r="F276" s="955">
        <f t="shared" si="51"/>
        <v>-12500</v>
      </c>
      <c r="G276" s="949">
        <v>4000</v>
      </c>
      <c r="H276" s="958">
        <v>3990</v>
      </c>
      <c r="I276" s="941">
        <v>0</v>
      </c>
      <c r="J276" s="1250">
        <f t="shared" si="46"/>
        <v>0.9975</v>
      </c>
      <c r="K276" s="941">
        <v>0</v>
      </c>
      <c r="L276" s="941">
        <v>0</v>
      </c>
      <c r="M276" s="940"/>
    </row>
    <row r="277" spans="1:13" ht="12.75">
      <c r="A277" s="935"/>
      <c r="B277" s="935"/>
      <c r="C277" s="936" t="s">
        <v>592</v>
      </c>
      <c r="D277" s="946" t="s">
        <v>38</v>
      </c>
      <c r="E277" s="951">
        <v>6000</v>
      </c>
      <c r="F277" s="955">
        <f t="shared" si="51"/>
        <v>-2720</v>
      </c>
      <c r="G277" s="949">
        <v>3280</v>
      </c>
      <c r="H277" s="958">
        <v>2025</v>
      </c>
      <c r="I277" s="941">
        <v>0</v>
      </c>
      <c r="J277" s="1250">
        <f t="shared" si="46"/>
        <v>0.6173780487804879</v>
      </c>
      <c r="K277" s="941">
        <v>0</v>
      </c>
      <c r="L277" s="941">
        <v>0</v>
      </c>
      <c r="M277" s="940"/>
    </row>
    <row r="278" spans="1:13" ht="12.75">
      <c r="A278" s="935"/>
      <c r="B278" s="935"/>
      <c r="C278" s="936" t="s">
        <v>325</v>
      </c>
      <c r="D278" s="946" t="s">
        <v>16</v>
      </c>
      <c r="E278" s="951">
        <v>85000</v>
      </c>
      <c r="F278" s="955">
        <f t="shared" si="51"/>
        <v>8397</v>
      </c>
      <c r="G278" s="949">
        <v>93397</v>
      </c>
      <c r="H278" s="958">
        <v>88519.2</v>
      </c>
      <c r="I278" s="941">
        <v>0</v>
      </c>
      <c r="J278" s="1250">
        <f t="shared" si="46"/>
        <v>0.9477734830883219</v>
      </c>
      <c r="K278" s="941">
        <v>1936.96</v>
      </c>
      <c r="L278" s="941">
        <v>0</v>
      </c>
      <c r="M278" s="940"/>
    </row>
    <row r="279" spans="1:13" ht="33.75">
      <c r="A279" s="935"/>
      <c r="B279" s="935"/>
      <c r="C279" s="936" t="s">
        <v>632</v>
      </c>
      <c r="D279" s="946" t="s">
        <v>633</v>
      </c>
      <c r="E279" s="951">
        <v>65000</v>
      </c>
      <c r="F279" s="955">
        <f t="shared" si="51"/>
        <v>0</v>
      </c>
      <c r="G279" s="949">
        <v>65000</v>
      </c>
      <c r="H279" s="958">
        <v>43998.34</v>
      </c>
      <c r="I279" s="941">
        <v>0</v>
      </c>
      <c r="J279" s="1250">
        <f t="shared" si="46"/>
        <v>0.6768975384615384</v>
      </c>
      <c r="K279" s="941">
        <v>0</v>
      </c>
      <c r="L279" s="941">
        <v>0</v>
      </c>
      <c r="M279" s="940"/>
    </row>
    <row r="280" spans="1:13" ht="22.5">
      <c r="A280" s="935"/>
      <c r="B280" s="935"/>
      <c r="C280" s="936" t="s">
        <v>335</v>
      </c>
      <c r="D280" s="946" t="s">
        <v>553</v>
      </c>
      <c r="E280" s="951">
        <v>6800</v>
      </c>
      <c r="F280" s="955">
        <f t="shared" si="51"/>
        <v>-450</v>
      </c>
      <c r="G280" s="949">
        <v>6350</v>
      </c>
      <c r="H280" s="958">
        <v>4457.22</v>
      </c>
      <c r="I280" s="941">
        <v>0</v>
      </c>
      <c r="J280" s="1250">
        <f t="shared" si="46"/>
        <v>0.701924409448819</v>
      </c>
      <c r="K280" s="941">
        <v>0</v>
      </c>
      <c r="L280" s="941">
        <v>0</v>
      </c>
      <c r="M280" s="940"/>
    </row>
    <row r="281" spans="1:13" ht="12.75">
      <c r="A281" s="935"/>
      <c r="B281" s="935"/>
      <c r="C281" s="936" t="s">
        <v>597</v>
      </c>
      <c r="D281" s="946" t="s">
        <v>22</v>
      </c>
      <c r="E281" s="951">
        <v>3500</v>
      </c>
      <c r="F281" s="955">
        <f t="shared" si="51"/>
        <v>-549</v>
      </c>
      <c r="G281" s="949">
        <v>2951</v>
      </c>
      <c r="H281" s="958">
        <v>1813.26</v>
      </c>
      <c r="I281" s="941">
        <v>0</v>
      </c>
      <c r="J281" s="1250">
        <f t="shared" si="46"/>
        <v>0.614456116570654</v>
      </c>
      <c r="K281" s="941">
        <v>0</v>
      </c>
      <c r="L281" s="941">
        <v>0</v>
      </c>
      <c r="M281" s="940"/>
    </row>
    <row r="282" spans="1:13" ht="12.75">
      <c r="A282" s="935"/>
      <c r="B282" s="935"/>
      <c r="C282" s="936" t="s">
        <v>544</v>
      </c>
      <c r="D282" s="946" t="s">
        <v>17</v>
      </c>
      <c r="E282" s="951">
        <v>2800</v>
      </c>
      <c r="F282" s="955">
        <f t="shared" si="51"/>
        <v>-147</v>
      </c>
      <c r="G282" s="949">
        <v>2653</v>
      </c>
      <c r="H282" s="958">
        <v>1613</v>
      </c>
      <c r="I282" s="941">
        <v>0</v>
      </c>
      <c r="J282" s="1250">
        <f t="shared" si="46"/>
        <v>0.6079909536373916</v>
      </c>
      <c r="K282" s="941">
        <v>0</v>
      </c>
      <c r="L282" s="941">
        <v>0</v>
      </c>
      <c r="M282" s="940"/>
    </row>
    <row r="283" spans="1:13" ht="22.5">
      <c r="A283" s="935"/>
      <c r="B283" s="935"/>
      <c r="C283" s="936" t="s">
        <v>598</v>
      </c>
      <c r="D283" s="946" t="s">
        <v>40</v>
      </c>
      <c r="E283" s="951">
        <v>136199</v>
      </c>
      <c r="F283" s="955">
        <f t="shared" si="51"/>
        <v>8043</v>
      </c>
      <c r="G283" s="949">
        <v>144242</v>
      </c>
      <c r="H283" s="958">
        <v>144242</v>
      </c>
      <c r="I283" s="941">
        <v>0</v>
      </c>
      <c r="J283" s="1250">
        <f t="shared" si="46"/>
        <v>1</v>
      </c>
      <c r="K283" s="941">
        <v>0</v>
      </c>
      <c r="L283" s="941">
        <v>0</v>
      </c>
      <c r="M283" s="940"/>
    </row>
    <row r="284" spans="1:13" ht="12.75">
      <c r="A284" s="935"/>
      <c r="B284" s="935"/>
      <c r="C284" s="936" t="s">
        <v>634</v>
      </c>
      <c r="D284" s="946" t="s">
        <v>635</v>
      </c>
      <c r="E284" s="951">
        <v>370</v>
      </c>
      <c r="F284" s="955">
        <f t="shared" si="51"/>
        <v>-47</v>
      </c>
      <c r="G284" s="949">
        <v>323</v>
      </c>
      <c r="H284" s="958">
        <v>85</v>
      </c>
      <c r="I284" s="941">
        <v>0</v>
      </c>
      <c r="J284" s="1250">
        <f aca="true" t="shared" si="52" ref="J284:J347">H284/G284</f>
        <v>0.2631578947368421</v>
      </c>
      <c r="K284" s="941">
        <v>0</v>
      </c>
      <c r="L284" s="941">
        <v>0</v>
      </c>
      <c r="M284" s="940"/>
    </row>
    <row r="285" spans="1:13" ht="22.5">
      <c r="A285" s="935"/>
      <c r="B285" s="935"/>
      <c r="C285" s="936" t="s">
        <v>580</v>
      </c>
      <c r="D285" s="946" t="s">
        <v>581</v>
      </c>
      <c r="E285" s="951">
        <v>1500</v>
      </c>
      <c r="F285" s="955">
        <f t="shared" si="51"/>
        <v>499</v>
      </c>
      <c r="G285" s="949">
        <v>1999</v>
      </c>
      <c r="H285" s="958">
        <v>1999</v>
      </c>
      <c r="I285" s="941">
        <v>0</v>
      </c>
      <c r="J285" s="1250">
        <v>0</v>
      </c>
      <c r="K285" s="941">
        <v>0</v>
      </c>
      <c r="L285" s="941">
        <v>0</v>
      </c>
      <c r="M285" s="940"/>
    </row>
    <row r="286" spans="1:13" ht="22.5">
      <c r="A286" s="935"/>
      <c r="B286" s="935"/>
      <c r="C286" s="984" t="s">
        <v>145</v>
      </c>
      <c r="D286" s="946" t="s">
        <v>71</v>
      </c>
      <c r="E286" s="951">
        <v>0</v>
      </c>
      <c r="F286" s="955">
        <f t="shared" si="51"/>
        <v>45510</v>
      </c>
      <c r="G286" s="1528">
        <v>45510</v>
      </c>
      <c r="H286" s="942">
        <v>45510</v>
      </c>
      <c r="I286" s="941">
        <v>0</v>
      </c>
      <c r="J286" s="1250">
        <f>H286/G286</f>
        <v>1</v>
      </c>
      <c r="K286" s="941">
        <v>0</v>
      </c>
      <c r="L286" s="1309">
        <v>0</v>
      </c>
      <c r="M286" s="940"/>
    </row>
    <row r="287" spans="1:13" ht="15">
      <c r="A287" s="932"/>
      <c r="B287" s="938" t="s">
        <v>639</v>
      </c>
      <c r="C287" s="933"/>
      <c r="D287" s="945" t="s">
        <v>244</v>
      </c>
      <c r="E287" s="950">
        <f>E288+E289+E290+E291+E292+E293+E294+E295+E296+E297+E298+E299+E300+E301+E302+E303+E304+E305</f>
        <v>1834554</v>
      </c>
      <c r="F287" s="954">
        <f aca="true" t="shared" si="53" ref="F287:L287">F288+F289+F290+F291+F292+F293+F294+F295+F296+F297+F298+F299+F300+F301+F302+F303+F304+F305</f>
        <v>-308785.19</v>
      </c>
      <c r="G287" s="947">
        <f t="shared" si="53"/>
        <v>1525768.8099999998</v>
      </c>
      <c r="H287" s="950">
        <f t="shared" si="53"/>
        <v>1487026.1700000002</v>
      </c>
      <c r="I287" s="954">
        <f t="shared" si="53"/>
        <v>0</v>
      </c>
      <c r="J287" s="959">
        <f t="shared" si="52"/>
        <v>0.9746077913337344</v>
      </c>
      <c r="K287" s="954">
        <f t="shared" si="53"/>
        <v>0</v>
      </c>
      <c r="L287" s="1439">
        <f t="shared" si="53"/>
        <v>0</v>
      </c>
      <c r="M287" s="940"/>
    </row>
    <row r="288" spans="1:13" ht="45">
      <c r="A288" s="935"/>
      <c r="B288" s="935"/>
      <c r="C288" s="936" t="s">
        <v>640</v>
      </c>
      <c r="D288" s="946" t="s">
        <v>641</v>
      </c>
      <c r="E288" s="951">
        <v>520000</v>
      </c>
      <c r="F288" s="955">
        <f>G288-E288</f>
        <v>-95504.54999999999</v>
      </c>
      <c r="G288" s="949">
        <v>424495.45</v>
      </c>
      <c r="H288" s="958">
        <v>424495.45</v>
      </c>
      <c r="I288" s="941">
        <v>0</v>
      </c>
      <c r="J288" s="1250">
        <f t="shared" si="52"/>
        <v>1</v>
      </c>
      <c r="K288" s="941">
        <v>0</v>
      </c>
      <c r="L288" s="941">
        <v>0</v>
      </c>
      <c r="M288" s="940"/>
    </row>
    <row r="289" spans="1:13" ht="22.5">
      <c r="A289" s="935"/>
      <c r="B289" s="935"/>
      <c r="C289" s="936" t="s">
        <v>637</v>
      </c>
      <c r="D289" s="946" t="s">
        <v>259</v>
      </c>
      <c r="E289" s="951">
        <v>240000</v>
      </c>
      <c r="F289" s="955">
        <f aca="true" t="shared" si="54" ref="F289:F305">G289-E289</f>
        <v>0</v>
      </c>
      <c r="G289" s="949">
        <v>240000</v>
      </c>
      <c r="H289" s="958">
        <v>201257.36</v>
      </c>
      <c r="I289" s="941">
        <v>0</v>
      </c>
      <c r="J289" s="1250">
        <f t="shared" si="52"/>
        <v>0.8385723333333333</v>
      </c>
      <c r="K289" s="941">
        <v>0</v>
      </c>
      <c r="L289" s="941">
        <v>0</v>
      </c>
      <c r="M289" s="940"/>
    </row>
    <row r="290" spans="1:13" ht="22.5">
      <c r="A290" s="935"/>
      <c r="B290" s="935"/>
      <c r="C290" s="936" t="s">
        <v>576</v>
      </c>
      <c r="D290" s="946" t="s">
        <v>577</v>
      </c>
      <c r="E290" s="951">
        <v>6824</v>
      </c>
      <c r="F290" s="955">
        <f t="shared" si="54"/>
        <v>-5608.77</v>
      </c>
      <c r="G290" s="949">
        <v>1215.23</v>
      </c>
      <c r="H290" s="958">
        <v>1215.23</v>
      </c>
      <c r="I290" s="941">
        <v>0</v>
      </c>
      <c r="J290" s="1250">
        <f t="shared" si="52"/>
        <v>1</v>
      </c>
      <c r="K290" s="941">
        <v>0</v>
      </c>
      <c r="L290" s="941">
        <v>0</v>
      </c>
      <c r="M290" s="940"/>
    </row>
    <row r="291" spans="1:13" ht="22.5">
      <c r="A291" s="935"/>
      <c r="B291" s="935"/>
      <c r="C291" s="936" t="s">
        <v>543</v>
      </c>
      <c r="D291" s="946" t="s">
        <v>12</v>
      </c>
      <c r="E291" s="951">
        <v>541300</v>
      </c>
      <c r="F291" s="955">
        <f t="shared" si="54"/>
        <v>-91228.02000000002</v>
      </c>
      <c r="G291" s="949">
        <v>450071.98</v>
      </c>
      <c r="H291" s="958">
        <v>450071.98</v>
      </c>
      <c r="I291" s="941">
        <v>0</v>
      </c>
      <c r="J291" s="1250">
        <f t="shared" si="52"/>
        <v>1</v>
      </c>
      <c r="K291" s="941">
        <v>0</v>
      </c>
      <c r="L291" s="941">
        <v>0</v>
      </c>
      <c r="M291" s="940"/>
    </row>
    <row r="292" spans="1:13" ht="12.75">
      <c r="A292" s="935"/>
      <c r="B292" s="935"/>
      <c r="C292" s="936" t="s">
        <v>578</v>
      </c>
      <c r="D292" s="946" t="s">
        <v>579</v>
      </c>
      <c r="E292" s="951">
        <v>82440</v>
      </c>
      <c r="F292" s="955">
        <f t="shared" si="54"/>
        <v>-16740.320000000007</v>
      </c>
      <c r="G292" s="949">
        <v>65699.68</v>
      </c>
      <c r="H292" s="958">
        <v>65699.68</v>
      </c>
      <c r="I292" s="941">
        <v>0</v>
      </c>
      <c r="J292" s="1250">
        <f t="shared" si="52"/>
        <v>1</v>
      </c>
      <c r="K292" s="941">
        <v>0</v>
      </c>
      <c r="L292" s="941">
        <v>0</v>
      </c>
      <c r="M292" s="940"/>
    </row>
    <row r="293" spans="1:13" ht="12.75">
      <c r="A293" s="935"/>
      <c r="B293" s="935"/>
      <c r="C293" s="936" t="s">
        <v>333</v>
      </c>
      <c r="D293" s="946" t="s">
        <v>13</v>
      </c>
      <c r="E293" s="951">
        <v>105585</v>
      </c>
      <c r="F293" s="955">
        <f t="shared" si="54"/>
        <v>-12681.869999999995</v>
      </c>
      <c r="G293" s="949">
        <v>92903.13</v>
      </c>
      <c r="H293" s="958">
        <v>92903.13</v>
      </c>
      <c r="I293" s="941">
        <v>0</v>
      </c>
      <c r="J293" s="1250">
        <f t="shared" si="52"/>
        <v>1</v>
      </c>
      <c r="K293" s="941">
        <v>0</v>
      </c>
      <c r="L293" s="941">
        <v>0</v>
      </c>
      <c r="M293" s="940"/>
    </row>
    <row r="294" spans="1:13" ht="33.75">
      <c r="A294" s="935"/>
      <c r="B294" s="935"/>
      <c r="C294" s="936" t="s">
        <v>334</v>
      </c>
      <c r="D294" s="1266" t="s">
        <v>875</v>
      </c>
      <c r="E294" s="951">
        <v>15068</v>
      </c>
      <c r="F294" s="955">
        <f t="shared" si="54"/>
        <v>-4096.27</v>
      </c>
      <c r="G294" s="949">
        <v>10971.73</v>
      </c>
      <c r="H294" s="958">
        <v>10971.73</v>
      </c>
      <c r="I294" s="941">
        <v>0</v>
      </c>
      <c r="J294" s="1250">
        <f t="shared" si="52"/>
        <v>1</v>
      </c>
      <c r="K294" s="941">
        <v>0</v>
      </c>
      <c r="L294" s="941">
        <v>0</v>
      </c>
      <c r="M294" s="940"/>
    </row>
    <row r="295" spans="1:13" ht="12.75">
      <c r="A295" s="935"/>
      <c r="B295" s="935"/>
      <c r="C295" s="936" t="s">
        <v>331</v>
      </c>
      <c r="D295" s="946" t="s">
        <v>28</v>
      </c>
      <c r="E295" s="951">
        <v>3000</v>
      </c>
      <c r="F295" s="955">
        <f t="shared" si="54"/>
        <v>-900</v>
      </c>
      <c r="G295" s="949">
        <v>2100</v>
      </c>
      <c r="H295" s="958">
        <v>2100</v>
      </c>
      <c r="I295" s="941">
        <v>0</v>
      </c>
      <c r="J295" s="1250">
        <f t="shared" si="52"/>
        <v>1</v>
      </c>
      <c r="K295" s="941">
        <v>0</v>
      </c>
      <c r="L295" s="941">
        <v>0</v>
      </c>
      <c r="M295" s="940"/>
    </row>
    <row r="296" spans="1:13" ht="12.75">
      <c r="A296" s="935"/>
      <c r="B296" s="935"/>
      <c r="C296" s="936" t="s">
        <v>324</v>
      </c>
      <c r="D296" s="946" t="s">
        <v>15</v>
      </c>
      <c r="E296" s="951">
        <v>60000</v>
      </c>
      <c r="F296" s="955">
        <f t="shared" si="54"/>
        <v>-7169.93</v>
      </c>
      <c r="G296" s="949">
        <v>52830.07</v>
      </c>
      <c r="H296" s="958">
        <v>52830.07</v>
      </c>
      <c r="I296" s="941">
        <v>0</v>
      </c>
      <c r="J296" s="1250">
        <f t="shared" si="52"/>
        <v>1</v>
      </c>
      <c r="K296" s="941">
        <v>0</v>
      </c>
      <c r="L296" s="941">
        <v>0</v>
      </c>
      <c r="M296" s="940"/>
    </row>
    <row r="297" spans="1:13" ht="22.5">
      <c r="A297" s="935"/>
      <c r="B297" s="935"/>
      <c r="C297" s="936" t="s">
        <v>631</v>
      </c>
      <c r="D297" s="946" t="s">
        <v>32</v>
      </c>
      <c r="E297" s="951">
        <v>9000</v>
      </c>
      <c r="F297" s="955">
        <f t="shared" si="54"/>
        <v>-7000</v>
      </c>
      <c r="G297" s="949">
        <v>2000</v>
      </c>
      <c r="H297" s="958">
        <v>2000</v>
      </c>
      <c r="I297" s="941">
        <v>0</v>
      </c>
      <c r="J297" s="1250">
        <f t="shared" si="52"/>
        <v>1</v>
      </c>
      <c r="K297" s="941">
        <v>0</v>
      </c>
      <c r="L297" s="941">
        <v>0</v>
      </c>
      <c r="M297" s="940"/>
    </row>
    <row r="298" spans="1:13" ht="12.75">
      <c r="A298" s="935"/>
      <c r="B298" s="935"/>
      <c r="C298" s="936" t="s">
        <v>546</v>
      </c>
      <c r="D298" s="946" t="s">
        <v>37</v>
      </c>
      <c r="E298" s="951">
        <v>130000</v>
      </c>
      <c r="F298" s="955">
        <f t="shared" si="54"/>
        <v>-45091.78</v>
      </c>
      <c r="G298" s="949">
        <v>84908.22</v>
      </c>
      <c r="H298" s="958">
        <v>84908.22</v>
      </c>
      <c r="I298" s="941">
        <v>0</v>
      </c>
      <c r="J298" s="1250">
        <f t="shared" si="52"/>
        <v>1</v>
      </c>
      <c r="K298" s="941">
        <v>0</v>
      </c>
      <c r="L298" s="941">
        <v>0</v>
      </c>
      <c r="M298" s="940"/>
    </row>
    <row r="299" spans="1:13" ht="12.75">
      <c r="A299" s="935"/>
      <c r="B299" s="935"/>
      <c r="C299" s="936" t="s">
        <v>552</v>
      </c>
      <c r="D299" s="946" t="s">
        <v>74</v>
      </c>
      <c r="E299" s="951">
        <v>20000</v>
      </c>
      <c r="F299" s="955">
        <f t="shared" si="54"/>
        <v>0</v>
      </c>
      <c r="G299" s="949">
        <v>20000</v>
      </c>
      <c r="H299" s="958">
        <v>20000</v>
      </c>
      <c r="I299" s="941">
        <v>0</v>
      </c>
      <c r="J299" s="1250">
        <f t="shared" si="52"/>
        <v>1</v>
      </c>
      <c r="K299" s="941">
        <v>0</v>
      </c>
      <c r="L299" s="941">
        <v>0</v>
      </c>
      <c r="M299" s="940"/>
    </row>
    <row r="300" spans="1:13" ht="12.75">
      <c r="A300" s="935"/>
      <c r="B300" s="935"/>
      <c r="C300" s="936" t="s">
        <v>592</v>
      </c>
      <c r="D300" s="946" t="s">
        <v>38</v>
      </c>
      <c r="E300" s="951">
        <v>12000</v>
      </c>
      <c r="F300" s="955">
        <f t="shared" si="54"/>
        <v>-10159</v>
      </c>
      <c r="G300" s="949">
        <v>1841</v>
      </c>
      <c r="H300" s="958">
        <v>1841</v>
      </c>
      <c r="I300" s="941">
        <v>0</v>
      </c>
      <c r="J300" s="1250">
        <f t="shared" si="52"/>
        <v>1</v>
      </c>
      <c r="K300" s="941">
        <v>0</v>
      </c>
      <c r="L300" s="941">
        <v>0</v>
      </c>
      <c r="M300" s="940"/>
    </row>
    <row r="301" spans="1:13" ht="12.75">
      <c r="A301" s="935"/>
      <c r="B301" s="935"/>
      <c r="C301" s="936" t="s">
        <v>325</v>
      </c>
      <c r="D301" s="946" t="s">
        <v>16</v>
      </c>
      <c r="E301" s="951">
        <v>49000</v>
      </c>
      <c r="F301" s="955">
        <f t="shared" si="54"/>
        <v>-453.8000000000029</v>
      </c>
      <c r="G301" s="949">
        <v>48546.2</v>
      </c>
      <c r="H301" s="958">
        <v>48546.2</v>
      </c>
      <c r="I301" s="941">
        <v>0</v>
      </c>
      <c r="J301" s="1250">
        <f t="shared" si="52"/>
        <v>1</v>
      </c>
      <c r="K301" s="941">
        <v>0</v>
      </c>
      <c r="L301" s="941">
        <v>0</v>
      </c>
      <c r="M301" s="940"/>
    </row>
    <row r="302" spans="1:13" ht="22.5">
      <c r="A302" s="935"/>
      <c r="B302" s="935"/>
      <c r="C302" s="936" t="s">
        <v>335</v>
      </c>
      <c r="D302" s="946" t="s">
        <v>553</v>
      </c>
      <c r="E302" s="951">
        <v>6500</v>
      </c>
      <c r="F302" s="955">
        <f t="shared" si="54"/>
        <v>-1547.38</v>
      </c>
      <c r="G302" s="949">
        <v>4952.62</v>
      </c>
      <c r="H302" s="958">
        <v>4952.62</v>
      </c>
      <c r="I302" s="941">
        <v>0</v>
      </c>
      <c r="J302" s="1250">
        <f t="shared" si="52"/>
        <v>1</v>
      </c>
      <c r="K302" s="941">
        <v>0</v>
      </c>
      <c r="L302" s="941">
        <v>0</v>
      </c>
      <c r="M302" s="940"/>
    </row>
    <row r="303" spans="1:13" ht="12.75">
      <c r="A303" s="935"/>
      <c r="B303" s="935"/>
      <c r="C303" s="936" t="s">
        <v>597</v>
      </c>
      <c r="D303" s="946" t="s">
        <v>22</v>
      </c>
      <c r="E303" s="951">
        <v>2000</v>
      </c>
      <c r="F303" s="955">
        <f t="shared" si="54"/>
        <v>-2000</v>
      </c>
      <c r="G303" s="949">
        <v>0</v>
      </c>
      <c r="H303" s="958">
        <v>0</v>
      </c>
      <c r="I303" s="941">
        <v>0</v>
      </c>
      <c r="J303" s="1250">
        <v>0</v>
      </c>
      <c r="K303" s="941">
        <v>0</v>
      </c>
      <c r="L303" s="941">
        <v>0</v>
      </c>
      <c r="M303" s="940"/>
    </row>
    <row r="304" spans="1:13" ht="12.75">
      <c r="A304" s="935"/>
      <c r="B304" s="935"/>
      <c r="C304" s="936" t="s">
        <v>544</v>
      </c>
      <c r="D304" s="946" t="s">
        <v>17</v>
      </c>
      <c r="E304" s="951">
        <v>800</v>
      </c>
      <c r="F304" s="955">
        <f t="shared" si="54"/>
        <v>-296.5</v>
      </c>
      <c r="G304" s="949">
        <v>503.5</v>
      </c>
      <c r="H304" s="958">
        <v>503.5</v>
      </c>
      <c r="I304" s="941">
        <v>0</v>
      </c>
      <c r="J304" s="1250">
        <f t="shared" si="52"/>
        <v>1</v>
      </c>
      <c r="K304" s="941">
        <v>0</v>
      </c>
      <c r="L304" s="941">
        <v>0</v>
      </c>
      <c r="M304" s="940"/>
    </row>
    <row r="305" spans="1:13" ht="22.5">
      <c r="A305" s="935"/>
      <c r="B305" s="935"/>
      <c r="C305" s="936" t="s">
        <v>598</v>
      </c>
      <c r="D305" s="946" t="s">
        <v>40</v>
      </c>
      <c r="E305" s="951">
        <v>31037</v>
      </c>
      <c r="F305" s="955">
        <f t="shared" si="54"/>
        <v>-8307</v>
      </c>
      <c r="G305" s="949">
        <v>22730</v>
      </c>
      <c r="H305" s="958">
        <v>22730</v>
      </c>
      <c r="I305" s="941">
        <v>0</v>
      </c>
      <c r="J305" s="1250">
        <f t="shared" si="52"/>
        <v>1</v>
      </c>
      <c r="K305" s="941">
        <v>0</v>
      </c>
      <c r="L305" s="941">
        <v>0</v>
      </c>
      <c r="M305" s="940"/>
    </row>
    <row r="306" spans="1:13" ht="15">
      <c r="A306" s="932"/>
      <c r="B306" s="938" t="s">
        <v>642</v>
      </c>
      <c r="C306" s="933"/>
      <c r="D306" s="945" t="s">
        <v>643</v>
      </c>
      <c r="E306" s="950">
        <f>E307</f>
        <v>1100000</v>
      </c>
      <c r="F306" s="954">
        <f aca="true" t="shared" si="55" ref="F306:L306">F307</f>
        <v>-7000</v>
      </c>
      <c r="G306" s="947">
        <f t="shared" si="55"/>
        <v>1093000</v>
      </c>
      <c r="H306" s="950">
        <f>H307</f>
        <v>1080930.48</v>
      </c>
      <c r="I306" s="954">
        <f t="shared" si="55"/>
        <v>0</v>
      </c>
      <c r="J306" s="959">
        <f t="shared" si="52"/>
        <v>0.9889574382433669</v>
      </c>
      <c r="K306" s="954">
        <f t="shared" si="55"/>
        <v>0</v>
      </c>
      <c r="L306" s="1439">
        <f t="shared" si="55"/>
        <v>0</v>
      </c>
      <c r="M306" s="940"/>
    </row>
    <row r="307" spans="1:13" ht="12.75">
      <c r="A307" s="935"/>
      <c r="B307" s="935"/>
      <c r="C307" s="936" t="s">
        <v>325</v>
      </c>
      <c r="D307" s="946" t="s">
        <v>16</v>
      </c>
      <c r="E307" s="951">
        <v>1100000</v>
      </c>
      <c r="F307" s="955">
        <f>G307-E307</f>
        <v>-7000</v>
      </c>
      <c r="G307" s="949">
        <v>1093000</v>
      </c>
      <c r="H307" s="958">
        <v>1080930.48</v>
      </c>
      <c r="I307" s="941">
        <v>0</v>
      </c>
      <c r="J307" s="1250">
        <f t="shared" si="52"/>
        <v>0.9889574382433669</v>
      </c>
      <c r="K307" s="941">
        <v>0</v>
      </c>
      <c r="L307" s="941">
        <v>0</v>
      </c>
      <c r="M307" s="940"/>
    </row>
    <row r="308" spans="1:13" ht="22.5">
      <c r="A308" s="932"/>
      <c r="B308" s="938" t="s">
        <v>644</v>
      </c>
      <c r="C308" s="933"/>
      <c r="D308" s="945" t="s">
        <v>645</v>
      </c>
      <c r="E308" s="950">
        <f>E309+E310</f>
        <v>112641</v>
      </c>
      <c r="F308" s="954">
        <f aca="true" t="shared" si="56" ref="F308:L308">F309+F310</f>
        <v>-19465</v>
      </c>
      <c r="G308" s="947">
        <f t="shared" si="56"/>
        <v>93176</v>
      </c>
      <c r="H308" s="950">
        <f t="shared" si="56"/>
        <v>82359.08</v>
      </c>
      <c r="I308" s="954">
        <f t="shared" si="56"/>
        <v>0</v>
      </c>
      <c r="J308" s="959">
        <f t="shared" si="52"/>
        <v>0.8839087318622821</v>
      </c>
      <c r="K308" s="954">
        <f t="shared" si="56"/>
        <v>0</v>
      </c>
      <c r="L308" s="1439">
        <f t="shared" si="56"/>
        <v>0</v>
      </c>
      <c r="M308" s="940"/>
    </row>
    <row r="309" spans="1:13" ht="12.75">
      <c r="A309" s="935"/>
      <c r="B309" s="935"/>
      <c r="C309" s="936" t="s">
        <v>325</v>
      </c>
      <c r="D309" s="946" t="s">
        <v>16</v>
      </c>
      <c r="E309" s="951">
        <v>30000</v>
      </c>
      <c r="F309" s="955">
        <f>G309-E309</f>
        <v>7285</v>
      </c>
      <c r="G309" s="949">
        <v>37285</v>
      </c>
      <c r="H309" s="958">
        <v>35335</v>
      </c>
      <c r="I309" s="941">
        <v>0</v>
      </c>
      <c r="J309" s="1250">
        <f t="shared" si="52"/>
        <v>0.9477001475124045</v>
      </c>
      <c r="K309" s="941">
        <v>0</v>
      </c>
      <c r="L309" s="941">
        <v>0</v>
      </c>
      <c r="M309" s="940"/>
    </row>
    <row r="310" spans="1:13" ht="22.5">
      <c r="A310" s="935"/>
      <c r="B310" s="935"/>
      <c r="C310" s="936" t="s">
        <v>580</v>
      </c>
      <c r="D310" s="946" t="s">
        <v>581</v>
      </c>
      <c r="E310" s="951">
        <v>82641</v>
      </c>
      <c r="F310" s="955">
        <f>G310-E310</f>
        <v>-26750</v>
      </c>
      <c r="G310" s="949">
        <v>55891</v>
      </c>
      <c r="H310" s="958">
        <v>47024.08</v>
      </c>
      <c r="I310" s="941">
        <v>0</v>
      </c>
      <c r="J310" s="1250">
        <f t="shared" si="52"/>
        <v>0.8413533484818665</v>
      </c>
      <c r="K310" s="941">
        <v>0</v>
      </c>
      <c r="L310" s="941">
        <v>0</v>
      </c>
      <c r="M310" s="940"/>
    </row>
    <row r="311" spans="1:13" ht="15">
      <c r="A311" s="932"/>
      <c r="B311" s="938" t="s">
        <v>183</v>
      </c>
      <c r="C311" s="933"/>
      <c r="D311" s="945" t="s">
        <v>482</v>
      </c>
      <c r="E311" s="950">
        <f>E312+E313+E314+E315+E316+E317+E318+E319+E320+E321+E322+E323+E324</f>
        <v>693507</v>
      </c>
      <c r="F311" s="954">
        <f aca="true" t="shared" si="57" ref="F311:L311">F312+F313+F314+F315+F316+F317+F318+F319+F320+F321+F322+F323+F324</f>
        <v>-72451</v>
      </c>
      <c r="G311" s="947">
        <f t="shared" si="57"/>
        <v>621056</v>
      </c>
      <c r="H311" s="950">
        <f t="shared" si="57"/>
        <v>601684.82</v>
      </c>
      <c r="I311" s="954">
        <f t="shared" si="57"/>
        <v>0</v>
      </c>
      <c r="J311" s="959">
        <f t="shared" si="52"/>
        <v>0.9688092861191261</v>
      </c>
      <c r="K311" s="954">
        <f t="shared" si="57"/>
        <v>26544.77</v>
      </c>
      <c r="L311" s="1439">
        <f t="shared" si="57"/>
        <v>0</v>
      </c>
      <c r="M311" s="940"/>
    </row>
    <row r="312" spans="1:13" ht="22.5">
      <c r="A312" s="935"/>
      <c r="B312" s="935"/>
      <c r="C312" s="936" t="s">
        <v>576</v>
      </c>
      <c r="D312" s="946" t="s">
        <v>577</v>
      </c>
      <c r="E312" s="951">
        <v>2000</v>
      </c>
      <c r="F312" s="955">
        <f>G312-E312</f>
        <v>-500</v>
      </c>
      <c r="G312" s="949">
        <v>1500</v>
      </c>
      <c r="H312" s="958">
        <v>1142.4</v>
      </c>
      <c r="I312" s="941">
        <v>0</v>
      </c>
      <c r="J312" s="1250">
        <f t="shared" si="52"/>
        <v>0.7616</v>
      </c>
      <c r="K312" s="941">
        <v>0</v>
      </c>
      <c r="L312" s="941">
        <v>0</v>
      </c>
      <c r="M312" s="940"/>
    </row>
    <row r="313" spans="1:13" ht="22.5">
      <c r="A313" s="935"/>
      <c r="B313" s="935"/>
      <c r="C313" s="936" t="s">
        <v>543</v>
      </c>
      <c r="D313" s="946" t="s">
        <v>12</v>
      </c>
      <c r="E313" s="951">
        <v>298500</v>
      </c>
      <c r="F313" s="955">
        <f aca="true" t="shared" si="58" ref="F313:F324">G313-E313</f>
        <v>-30800</v>
      </c>
      <c r="G313" s="949">
        <v>267700</v>
      </c>
      <c r="H313" s="958">
        <v>262867.23</v>
      </c>
      <c r="I313" s="941">
        <v>0</v>
      </c>
      <c r="J313" s="1250">
        <f t="shared" si="52"/>
        <v>0.9819470676129995</v>
      </c>
      <c r="K313" s="941">
        <v>1219.37</v>
      </c>
      <c r="L313" s="941">
        <v>0</v>
      </c>
      <c r="M313" s="940"/>
    </row>
    <row r="314" spans="1:13" ht="12.75">
      <c r="A314" s="935"/>
      <c r="B314" s="935"/>
      <c r="C314" s="936" t="s">
        <v>578</v>
      </c>
      <c r="D314" s="946" t="s">
        <v>579</v>
      </c>
      <c r="E314" s="951">
        <v>19723</v>
      </c>
      <c r="F314" s="955">
        <f t="shared" si="58"/>
        <v>0</v>
      </c>
      <c r="G314" s="949">
        <v>19723</v>
      </c>
      <c r="H314" s="958">
        <v>19723</v>
      </c>
      <c r="I314" s="941">
        <v>0</v>
      </c>
      <c r="J314" s="1250">
        <f t="shared" si="52"/>
        <v>1</v>
      </c>
      <c r="K314" s="941">
        <v>20550</v>
      </c>
      <c r="L314" s="941">
        <v>0</v>
      </c>
      <c r="M314" s="940"/>
    </row>
    <row r="315" spans="1:13" ht="12.75">
      <c r="A315" s="935"/>
      <c r="B315" s="935"/>
      <c r="C315" s="936" t="s">
        <v>333</v>
      </c>
      <c r="D315" s="946" t="s">
        <v>13</v>
      </c>
      <c r="E315" s="951">
        <v>51390</v>
      </c>
      <c r="F315" s="955">
        <f t="shared" si="58"/>
        <v>-5800</v>
      </c>
      <c r="G315" s="949">
        <v>45590</v>
      </c>
      <c r="H315" s="958">
        <v>45253.73</v>
      </c>
      <c r="I315" s="941">
        <v>0</v>
      </c>
      <c r="J315" s="1250">
        <f t="shared" si="52"/>
        <v>0.9926240403597281</v>
      </c>
      <c r="K315" s="941">
        <v>4366.27</v>
      </c>
      <c r="L315" s="941">
        <v>0</v>
      </c>
      <c r="M315" s="940"/>
    </row>
    <row r="316" spans="1:13" ht="33.75">
      <c r="A316" s="935"/>
      <c r="B316" s="935"/>
      <c r="C316" s="936" t="s">
        <v>334</v>
      </c>
      <c r="D316" s="1266" t="s">
        <v>875</v>
      </c>
      <c r="E316" s="951">
        <v>7324</v>
      </c>
      <c r="F316" s="955">
        <f t="shared" si="58"/>
        <v>-2200</v>
      </c>
      <c r="G316" s="949">
        <v>5124</v>
      </c>
      <c r="H316" s="958">
        <v>4873.55</v>
      </c>
      <c r="I316" s="941">
        <v>0</v>
      </c>
      <c r="J316" s="1250">
        <f t="shared" si="52"/>
        <v>0.9511221701795473</v>
      </c>
      <c r="K316" s="941">
        <v>409.13</v>
      </c>
      <c r="L316" s="941">
        <v>0</v>
      </c>
      <c r="M316" s="940"/>
    </row>
    <row r="317" spans="1:13" ht="12.75">
      <c r="A317" s="935"/>
      <c r="B317" s="935"/>
      <c r="C317" s="936" t="s">
        <v>331</v>
      </c>
      <c r="D317" s="946" t="s">
        <v>28</v>
      </c>
      <c r="E317" s="951">
        <v>0</v>
      </c>
      <c r="F317" s="955">
        <f t="shared" si="58"/>
        <v>0</v>
      </c>
      <c r="G317" s="949">
        <v>0</v>
      </c>
      <c r="H317" s="958">
        <v>0</v>
      </c>
      <c r="I317" s="941">
        <v>0</v>
      </c>
      <c r="J317" s="1250">
        <v>0</v>
      </c>
      <c r="K317" s="941">
        <v>0</v>
      </c>
      <c r="L317" s="941">
        <v>0</v>
      </c>
      <c r="M317" s="940"/>
    </row>
    <row r="318" spans="1:13" ht="12.75">
      <c r="A318" s="935"/>
      <c r="B318" s="935"/>
      <c r="C318" s="936" t="s">
        <v>324</v>
      </c>
      <c r="D318" s="946" t="s">
        <v>15</v>
      </c>
      <c r="E318" s="951">
        <v>35100</v>
      </c>
      <c r="F318" s="955">
        <f t="shared" si="58"/>
        <v>-7000</v>
      </c>
      <c r="G318" s="949">
        <v>28100</v>
      </c>
      <c r="H318" s="958">
        <v>24502.48</v>
      </c>
      <c r="I318" s="941">
        <v>0</v>
      </c>
      <c r="J318" s="1250">
        <f t="shared" si="52"/>
        <v>0.8719743772241992</v>
      </c>
      <c r="K318" s="941">
        <v>0</v>
      </c>
      <c r="L318" s="941">
        <v>0</v>
      </c>
      <c r="M318" s="940"/>
    </row>
    <row r="319" spans="1:13" ht="12.75">
      <c r="A319" s="935"/>
      <c r="B319" s="935"/>
      <c r="C319" s="936" t="s">
        <v>638</v>
      </c>
      <c r="D319" s="946" t="s">
        <v>36</v>
      </c>
      <c r="E319" s="951">
        <v>262000</v>
      </c>
      <c r="F319" s="955">
        <f t="shared" si="58"/>
        <v>-25000</v>
      </c>
      <c r="G319" s="949">
        <v>237000</v>
      </c>
      <c r="H319" s="958">
        <v>232668.23</v>
      </c>
      <c r="I319" s="941">
        <v>0</v>
      </c>
      <c r="J319" s="1250">
        <f t="shared" si="52"/>
        <v>0.9817224894514769</v>
      </c>
      <c r="K319" s="941">
        <v>0</v>
      </c>
      <c r="L319" s="941">
        <v>0</v>
      </c>
      <c r="M319" s="940"/>
    </row>
    <row r="320" spans="1:13" ht="12.75">
      <c r="A320" s="935"/>
      <c r="B320" s="935"/>
      <c r="C320" s="936" t="s">
        <v>552</v>
      </c>
      <c r="D320" s="946" t="s">
        <v>74</v>
      </c>
      <c r="E320" s="951">
        <v>1500</v>
      </c>
      <c r="F320" s="955">
        <f t="shared" si="58"/>
        <v>-1500</v>
      </c>
      <c r="G320" s="949" t="s">
        <v>370</v>
      </c>
      <c r="H320" s="958">
        <v>0</v>
      </c>
      <c r="I320" s="941">
        <v>0</v>
      </c>
      <c r="J320" s="1250">
        <v>0</v>
      </c>
      <c r="K320" s="941">
        <v>0</v>
      </c>
      <c r="L320" s="941">
        <v>0</v>
      </c>
      <c r="M320" s="940"/>
    </row>
    <row r="321" spans="1:13" ht="12.75">
      <c r="A321" s="935"/>
      <c r="B321" s="935"/>
      <c r="C321" s="936" t="s">
        <v>592</v>
      </c>
      <c r="D321" s="946" t="s">
        <v>38</v>
      </c>
      <c r="E321" s="951">
        <v>1785</v>
      </c>
      <c r="F321" s="955">
        <f t="shared" si="58"/>
        <v>0</v>
      </c>
      <c r="G321" s="949">
        <v>1785</v>
      </c>
      <c r="H321" s="958">
        <v>0</v>
      </c>
      <c r="I321" s="941">
        <v>0</v>
      </c>
      <c r="J321" s="1250">
        <f t="shared" si="52"/>
        <v>0</v>
      </c>
      <c r="K321" s="941">
        <v>0</v>
      </c>
      <c r="L321" s="941">
        <v>0</v>
      </c>
      <c r="M321" s="940"/>
    </row>
    <row r="322" spans="1:13" ht="12.75">
      <c r="A322" s="935"/>
      <c r="B322" s="935"/>
      <c r="C322" s="936" t="s">
        <v>325</v>
      </c>
      <c r="D322" s="946" t="s">
        <v>16</v>
      </c>
      <c r="E322" s="951">
        <v>4700</v>
      </c>
      <c r="F322" s="955">
        <f t="shared" si="58"/>
        <v>0</v>
      </c>
      <c r="G322" s="949">
        <v>4700</v>
      </c>
      <c r="H322" s="958">
        <v>820.2</v>
      </c>
      <c r="I322" s="941">
        <v>0</v>
      </c>
      <c r="J322" s="1250">
        <f t="shared" si="52"/>
        <v>0.17451063829787236</v>
      </c>
      <c r="K322" s="941">
        <v>0</v>
      </c>
      <c r="L322" s="941">
        <v>0</v>
      </c>
      <c r="M322" s="940"/>
    </row>
    <row r="323" spans="1:13" ht="22.5">
      <c r="A323" s="935"/>
      <c r="B323" s="935"/>
      <c r="C323" s="936" t="s">
        <v>598</v>
      </c>
      <c r="D323" s="946" t="s">
        <v>40</v>
      </c>
      <c r="E323" s="951">
        <v>9485</v>
      </c>
      <c r="F323" s="955">
        <f t="shared" si="58"/>
        <v>349</v>
      </c>
      <c r="G323" s="949">
        <v>9834</v>
      </c>
      <c r="H323" s="958">
        <v>9834</v>
      </c>
      <c r="I323" s="941">
        <v>0</v>
      </c>
      <c r="J323" s="1250">
        <f t="shared" si="52"/>
        <v>1</v>
      </c>
      <c r="K323" s="941">
        <v>0</v>
      </c>
      <c r="L323" s="941">
        <v>0</v>
      </c>
      <c r="M323" s="940"/>
    </row>
    <row r="324" spans="1:13" ht="22.5" hidden="1">
      <c r="A324" s="935"/>
      <c r="B324" s="935"/>
      <c r="C324" s="936" t="s">
        <v>145</v>
      </c>
      <c r="D324" s="946" t="s">
        <v>71</v>
      </c>
      <c r="E324" s="951">
        <v>0</v>
      </c>
      <c r="F324" s="955">
        <f t="shared" si="58"/>
        <v>0</v>
      </c>
      <c r="G324" s="949">
        <v>0</v>
      </c>
      <c r="H324" s="958">
        <v>0</v>
      </c>
      <c r="I324" s="941">
        <v>0</v>
      </c>
      <c r="J324" s="1250">
        <v>0</v>
      </c>
      <c r="K324" s="941">
        <v>0</v>
      </c>
      <c r="L324" s="941">
        <v>0</v>
      </c>
      <c r="M324" s="940"/>
    </row>
    <row r="325" spans="1:13" ht="78.75">
      <c r="A325" s="932"/>
      <c r="B325" s="938" t="s">
        <v>646</v>
      </c>
      <c r="C325" s="933"/>
      <c r="D325" s="945" t="s">
        <v>647</v>
      </c>
      <c r="E325" s="950">
        <f>E326+E327+E328+E329+E330+E331+E332+E333+E334+E335+E336+E337</f>
        <v>157985</v>
      </c>
      <c r="F325" s="954">
        <f aca="true" t="shared" si="59" ref="F325:L325">F326+F327+F328+F329+F330+F331+F332+F333+F334+F335+F336+F337</f>
        <v>80535</v>
      </c>
      <c r="G325" s="947">
        <f t="shared" si="59"/>
        <v>238520</v>
      </c>
      <c r="H325" s="950">
        <f t="shared" si="59"/>
        <v>228851.92</v>
      </c>
      <c r="I325" s="954">
        <f t="shared" si="59"/>
        <v>0</v>
      </c>
      <c r="J325" s="959">
        <f t="shared" si="52"/>
        <v>0.9594663759852424</v>
      </c>
      <c r="K325" s="954">
        <f t="shared" si="59"/>
        <v>17954.73</v>
      </c>
      <c r="L325" s="1439">
        <f t="shared" si="59"/>
        <v>0</v>
      </c>
      <c r="M325" s="940"/>
    </row>
    <row r="326" spans="1:13" ht="22.5" hidden="1">
      <c r="A326" s="935"/>
      <c r="B326" s="935"/>
      <c r="C326" s="936" t="s">
        <v>637</v>
      </c>
      <c r="D326" s="946" t="s">
        <v>259</v>
      </c>
      <c r="E326" s="951">
        <v>0</v>
      </c>
      <c r="F326" s="955">
        <f>G326-E326</f>
        <v>0</v>
      </c>
      <c r="G326" s="949">
        <v>0</v>
      </c>
      <c r="H326" s="958">
        <v>0</v>
      </c>
      <c r="I326" s="941">
        <v>0</v>
      </c>
      <c r="J326" s="1250">
        <v>0</v>
      </c>
      <c r="K326" s="941">
        <v>0</v>
      </c>
      <c r="L326" s="941">
        <v>0</v>
      </c>
      <c r="M326" s="940"/>
    </row>
    <row r="327" spans="1:13" ht="22.5" hidden="1">
      <c r="A327" s="935"/>
      <c r="B327" s="935"/>
      <c r="C327" s="936" t="s">
        <v>576</v>
      </c>
      <c r="D327" s="946" t="s">
        <v>577</v>
      </c>
      <c r="E327" s="951">
        <v>0</v>
      </c>
      <c r="F327" s="955">
        <f aca="true" t="shared" si="60" ref="F327:F337">G327-E327</f>
        <v>0</v>
      </c>
      <c r="G327" s="949">
        <v>0</v>
      </c>
      <c r="H327" s="958">
        <v>0</v>
      </c>
      <c r="I327" s="941">
        <v>0</v>
      </c>
      <c r="J327" s="1250">
        <v>0</v>
      </c>
      <c r="K327" s="941">
        <v>0</v>
      </c>
      <c r="L327" s="941">
        <v>0</v>
      </c>
      <c r="M327" s="940"/>
    </row>
    <row r="328" spans="1:13" ht="22.5">
      <c r="A328" s="935"/>
      <c r="B328" s="935"/>
      <c r="C328" s="936" t="s">
        <v>543</v>
      </c>
      <c r="D328" s="946" t="s">
        <v>12</v>
      </c>
      <c r="E328" s="951">
        <v>107000</v>
      </c>
      <c r="F328" s="955">
        <f t="shared" si="60"/>
        <v>45775</v>
      </c>
      <c r="G328" s="949">
        <v>152775</v>
      </c>
      <c r="H328" s="958">
        <v>151169.45</v>
      </c>
      <c r="I328" s="941">
        <v>0</v>
      </c>
      <c r="J328" s="1250">
        <f t="shared" si="52"/>
        <v>0.9894907543773523</v>
      </c>
      <c r="K328" s="941">
        <v>751.84</v>
      </c>
      <c r="L328" s="941">
        <v>0</v>
      </c>
      <c r="M328" s="940"/>
    </row>
    <row r="329" spans="1:13" ht="12.75">
      <c r="A329" s="935"/>
      <c r="B329" s="935"/>
      <c r="C329" s="936" t="s">
        <v>578</v>
      </c>
      <c r="D329" s="946" t="s">
        <v>579</v>
      </c>
      <c r="E329" s="951">
        <v>9340</v>
      </c>
      <c r="F329" s="955">
        <f t="shared" si="60"/>
        <v>0</v>
      </c>
      <c r="G329" s="949">
        <v>9340</v>
      </c>
      <c r="H329" s="958">
        <v>9340</v>
      </c>
      <c r="I329" s="941">
        <v>0</v>
      </c>
      <c r="J329" s="1250">
        <f t="shared" si="52"/>
        <v>1</v>
      </c>
      <c r="K329" s="941">
        <v>14240</v>
      </c>
      <c r="L329" s="941">
        <v>0</v>
      </c>
      <c r="M329" s="940"/>
    </row>
    <row r="330" spans="1:13" ht="12.75">
      <c r="A330" s="935"/>
      <c r="B330" s="935"/>
      <c r="C330" s="936" t="s">
        <v>333</v>
      </c>
      <c r="D330" s="946" t="s">
        <v>13</v>
      </c>
      <c r="E330" s="951">
        <v>19833</v>
      </c>
      <c r="F330" s="955">
        <f t="shared" si="60"/>
        <v>8655</v>
      </c>
      <c r="G330" s="949">
        <v>28488</v>
      </c>
      <c r="H330" s="958">
        <v>27033.99</v>
      </c>
      <c r="I330" s="941">
        <v>0</v>
      </c>
      <c r="J330" s="1250">
        <f t="shared" si="52"/>
        <v>0.9489606149957878</v>
      </c>
      <c r="K330" s="941">
        <v>2586.75</v>
      </c>
      <c r="L330" s="941">
        <v>0</v>
      </c>
      <c r="M330" s="940"/>
    </row>
    <row r="331" spans="1:13" ht="33.75">
      <c r="A331" s="935"/>
      <c r="B331" s="935"/>
      <c r="C331" s="936" t="s">
        <v>334</v>
      </c>
      <c r="D331" s="1266" t="s">
        <v>875</v>
      </c>
      <c r="E331" s="951">
        <v>2812</v>
      </c>
      <c r="F331" s="955">
        <f t="shared" si="60"/>
        <v>1815</v>
      </c>
      <c r="G331" s="949">
        <v>4627</v>
      </c>
      <c r="H331" s="958">
        <v>4375.44</v>
      </c>
      <c r="I331" s="941">
        <v>0</v>
      </c>
      <c r="J331" s="1250">
        <f t="shared" si="52"/>
        <v>0.9456321590663496</v>
      </c>
      <c r="K331" s="941">
        <v>376.14</v>
      </c>
      <c r="L331" s="941">
        <v>0</v>
      </c>
      <c r="M331" s="940"/>
    </row>
    <row r="332" spans="1:13" ht="12.75">
      <c r="A332" s="935"/>
      <c r="B332" s="935"/>
      <c r="C332" s="936" t="s">
        <v>324</v>
      </c>
      <c r="D332" s="946" t="s">
        <v>15</v>
      </c>
      <c r="E332" s="951">
        <v>8000</v>
      </c>
      <c r="F332" s="955">
        <f t="shared" si="60"/>
        <v>11500</v>
      </c>
      <c r="G332" s="949">
        <v>19500</v>
      </c>
      <c r="H332" s="958">
        <v>16862.34</v>
      </c>
      <c r="I332" s="941">
        <v>0</v>
      </c>
      <c r="J332" s="1250">
        <f t="shared" si="52"/>
        <v>0.8647353846153846</v>
      </c>
      <c r="K332" s="941">
        <v>0</v>
      </c>
      <c r="L332" s="941">
        <v>0</v>
      </c>
      <c r="M332" s="940"/>
    </row>
    <row r="333" spans="1:13" ht="22.5">
      <c r="A333" s="935"/>
      <c r="B333" s="935"/>
      <c r="C333" s="936" t="s">
        <v>631</v>
      </c>
      <c r="D333" s="946" t="s">
        <v>32</v>
      </c>
      <c r="E333" s="951">
        <v>8000</v>
      </c>
      <c r="F333" s="955">
        <f t="shared" si="60"/>
        <v>5000</v>
      </c>
      <c r="G333" s="949">
        <v>13000</v>
      </c>
      <c r="H333" s="958">
        <v>9283.6</v>
      </c>
      <c r="I333" s="941">
        <v>0</v>
      </c>
      <c r="J333" s="1250">
        <f t="shared" si="52"/>
        <v>0.714123076923077</v>
      </c>
      <c r="K333" s="941">
        <v>0</v>
      </c>
      <c r="L333" s="941">
        <v>0</v>
      </c>
      <c r="M333" s="940"/>
    </row>
    <row r="334" spans="1:13" ht="12.75">
      <c r="A334" s="935"/>
      <c r="B334" s="935"/>
      <c r="C334" s="936" t="s">
        <v>546</v>
      </c>
      <c r="D334" s="946" t="s">
        <v>37</v>
      </c>
      <c r="E334" s="951">
        <v>0</v>
      </c>
      <c r="F334" s="955">
        <f t="shared" si="60"/>
        <v>0</v>
      </c>
      <c r="G334" s="949" t="s">
        <v>370</v>
      </c>
      <c r="H334" s="958">
        <v>0</v>
      </c>
      <c r="I334" s="941">
        <v>0</v>
      </c>
      <c r="J334" s="1250">
        <v>0</v>
      </c>
      <c r="K334" s="941">
        <v>0</v>
      </c>
      <c r="L334" s="941">
        <v>0</v>
      </c>
      <c r="M334" s="940"/>
    </row>
    <row r="335" spans="1:13" ht="12.75">
      <c r="A335" s="935"/>
      <c r="B335" s="935"/>
      <c r="C335" s="936" t="s">
        <v>552</v>
      </c>
      <c r="D335" s="946" t="s">
        <v>74</v>
      </c>
      <c r="E335" s="951">
        <v>3000</v>
      </c>
      <c r="F335" s="955">
        <f t="shared" si="60"/>
        <v>7790</v>
      </c>
      <c r="G335" s="949">
        <v>10790</v>
      </c>
      <c r="H335" s="958">
        <v>10787.1</v>
      </c>
      <c r="I335" s="941">
        <v>0</v>
      </c>
      <c r="J335" s="1250">
        <f t="shared" si="52"/>
        <v>0.999731232622799</v>
      </c>
      <c r="K335" s="941">
        <v>0</v>
      </c>
      <c r="L335" s="941">
        <v>0</v>
      </c>
      <c r="M335" s="940"/>
    </row>
    <row r="336" spans="1:13" ht="12.75">
      <c r="A336" s="935"/>
      <c r="B336" s="935"/>
      <c r="C336" s="936" t="s">
        <v>325</v>
      </c>
      <c r="D336" s="946" t="s">
        <v>16</v>
      </c>
      <c r="E336" s="951">
        <v>0</v>
      </c>
      <c r="F336" s="955">
        <f t="shared" si="60"/>
        <v>0</v>
      </c>
      <c r="G336" s="949" t="s">
        <v>370</v>
      </c>
      <c r="H336" s="958">
        <v>0</v>
      </c>
      <c r="I336" s="941">
        <v>0</v>
      </c>
      <c r="J336" s="1250">
        <v>0</v>
      </c>
      <c r="K336" s="941">
        <v>0</v>
      </c>
      <c r="L336" s="941">
        <v>0</v>
      </c>
      <c r="M336" s="940"/>
    </row>
    <row r="337" spans="1:13" ht="22.5" hidden="1">
      <c r="A337" s="935"/>
      <c r="B337" s="935"/>
      <c r="C337" s="936" t="s">
        <v>598</v>
      </c>
      <c r="D337" s="946" t="s">
        <v>40</v>
      </c>
      <c r="E337" s="951">
        <v>0</v>
      </c>
      <c r="F337" s="955">
        <f t="shared" si="60"/>
        <v>0</v>
      </c>
      <c r="G337" s="949">
        <v>0</v>
      </c>
      <c r="H337" s="958">
        <v>0</v>
      </c>
      <c r="I337" s="941">
        <v>0</v>
      </c>
      <c r="J337" s="1250">
        <v>0</v>
      </c>
      <c r="K337" s="941">
        <v>0</v>
      </c>
      <c r="L337" s="941">
        <v>0</v>
      </c>
      <c r="M337" s="940"/>
    </row>
    <row r="338" spans="1:13" ht="45">
      <c r="A338" s="932"/>
      <c r="B338" s="938" t="s">
        <v>648</v>
      </c>
      <c r="C338" s="933"/>
      <c r="D338" s="945" t="s">
        <v>649</v>
      </c>
      <c r="E338" s="950">
        <f>E339+E340+E341+E342+E343+E344+E345+E346+E347+E348+E349+E350</f>
        <v>652952</v>
      </c>
      <c r="F338" s="954">
        <f aca="true" t="shared" si="61" ref="F338:L338">F339+F340+F341+F342+F343+F344+F345+F346+F347+F348+F349+F350</f>
        <v>162222</v>
      </c>
      <c r="G338" s="947">
        <f t="shared" si="61"/>
        <v>815174</v>
      </c>
      <c r="H338" s="950">
        <f t="shared" si="61"/>
        <v>799978.4</v>
      </c>
      <c r="I338" s="954">
        <f t="shared" si="61"/>
        <v>0</v>
      </c>
      <c r="J338" s="959">
        <f t="shared" si="52"/>
        <v>0.9813590718055286</v>
      </c>
      <c r="K338" s="954">
        <f t="shared" si="61"/>
        <v>72356.50000000001</v>
      </c>
      <c r="L338" s="1439">
        <f t="shared" si="61"/>
        <v>0</v>
      </c>
      <c r="M338" s="940"/>
    </row>
    <row r="339" spans="1:13" ht="22.5" hidden="1">
      <c r="A339" s="935"/>
      <c r="B339" s="935"/>
      <c r="C339" s="936" t="s">
        <v>576</v>
      </c>
      <c r="D339" s="946" t="s">
        <v>577</v>
      </c>
      <c r="E339" s="951">
        <v>0</v>
      </c>
      <c r="F339" s="955">
        <f>G339-E339</f>
        <v>0</v>
      </c>
      <c r="G339" s="949">
        <v>0</v>
      </c>
      <c r="H339" s="958">
        <v>0</v>
      </c>
      <c r="I339" s="941">
        <v>0</v>
      </c>
      <c r="J339" s="1250">
        <v>0</v>
      </c>
      <c r="K339" s="941">
        <v>0</v>
      </c>
      <c r="L339" s="941">
        <v>0</v>
      </c>
      <c r="M339" s="940"/>
    </row>
    <row r="340" spans="1:13" ht="22.5">
      <c r="A340" s="935"/>
      <c r="B340" s="935"/>
      <c r="C340" s="936" t="s">
        <v>543</v>
      </c>
      <c r="D340" s="946" t="s">
        <v>12</v>
      </c>
      <c r="E340" s="951">
        <v>516100</v>
      </c>
      <c r="F340" s="955">
        <f aca="true" t="shared" si="62" ref="F340:F350">G340-E340</f>
        <v>106938</v>
      </c>
      <c r="G340" s="949">
        <v>623038</v>
      </c>
      <c r="H340" s="958">
        <v>620825.15</v>
      </c>
      <c r="I340" s="941">
        <v>0</v>
      </c>
      <c r="J340" s="1250">
        <f t="shared" si="52"/>
        <v>0.9964482904734543</v>
      </c>
      <c r="K340" s="941">
        <v>1292.83</v>
      </c>
      <c r="L340" s="941">
        <v>0</v>
      </c>
      <c r="M340" s="940"/>
    </row>
    <row r="341" spans="1:13" ht="12.75">
      <c r="A341" s="935"/>
      <c r="B341" s="935"/>
      <c r="C341" s="936" t="s">
        <v>578</v>
      </c>
      <c r="D341" s="946" t="s">
        <v>579</v>
      </c>
      <c r="E341" s="951">
        <v>0</v>
      </c>
      <c r="F341" s="955">
        <f t="shared" si="62"/>
        <v>0</v>
      </c>
      <c r="G341" s="949">
        <v>0</v>
      </c>
      <c r="H341" s="958">
        <v>0</v>
      </c>
      <c r="I341" s="941">
        <v>0</v>
      </c>
      <c r="J341" s="1250">
        <v>0</v>
      </c>
      <c r="K341" s="941">
        <v>59454.5</v>
      </c>
      <c r="L341" s="941">
        <v>0</v>
      </c>
      <c r="M341" s="940"/>
    </row>
    <row r="342" spans="1:13" ht="12.75">
      <c r="A342" s="935"/>
      <c r="B342" s="935"/>
      <c r="C342" s="936" t="s">
        <v>333</v>
      </c>
      <c r="D342" s="946" t="s">
        <v>13</v>
      </c>
      <c r="E342" s="951">
        <v>88251</v>
      </c>
      <c r="F342" s="955">
        <f t="shared" si="62"/>
        <v>34500</v>
      </c>
      <c r="G342" s="949">
        <v>122751</v>
      </c>
      <c r="H342" s="958">
        <v>118983.8</v>
      </c>
      <c r="I342" s="941">
        <v>0</v>
      </c>
      <c r="J342" s="1250">
        <f t="shared" si="52"/>
        <v>0.969310229651897</v>
      </c>
      <c r="K342" s="941">
        <v>10224.71</v>
      </c>
      <c r="L342" s="941">
        <v>0</v>
      </c>
      <c r="M342" s="940"/>
    </row>
    <row r="343" spans="1:13" ht="33.75">
      <c r="A343" s="935"/>
      <c r="B343" s="935"/>
      <c r="C343" s="936" t="s">
        <v>334</v>
      </c>
      <c r="D343" s="1266" t="s">
        <v>875</v>
      </c>
      <c r="E343" s="951">
        <v>12601</v>
      </c>
      <c r="F343" s="955">
        <f t="shared" si="62"/>
        <v>1854</v>
      </c>
      <c r="G343" s="949">
        <v>14455</v>
      </c>
      <c r="H343" s="958">
        <v>14224.46</v>
      </c>
      <c r="I343" s="941">
        <v>0</v>
      </c>
      <c r="J343" s="1250">
        <f t="shared" si="52"/>
        <v>0.9840511933586994</v>
      </c>
      <c r="K343" s="941">
        <v>1384.46</v>
      </c>
      <c r="L343" s="941">
        <v>0</v>
      </c>
      <c r="M343" s="940"/>
    </row>
    <row r="344" spans="1:13" ht="12.75">
      <c r="A344" s="935"/>
      <c r="B344" s="935"/>
      <c r="C344" s="936" t="s">
        <v>324</v>
      </c>
      <c r="D344" s="946" t="s">
        <v>15</v>
      </c>
      <c r="E344" s="951">
        <v>14000</v>
      </c>
      <c r="F344" s="955">
        <f t="shared" si="62"/>
        <v>3000</v>
      </c>
      <c r="G344" s="949">
        <v>17000</v>
      </c>
      <c r="H344" s="958">
        <v>13394.55</v>
      </c>
      <c r="I344" s="941">
        <v>0</v>
      </c>
      <c r="J344" s="1250">
        <f t="shared" si="52"/>
        <v>0.7879147058823529</v>
      </c>
      <c r="K344" s="941">
        <v>0</v>
      </c>
      <c r="L344" s="941">
        <v>0</v>
      </c>
      <c r="M344" s="940"/>
    </row>
    <row r="345" spans="1:13" ht="22.5">
      <c r="A345" s="935"/>
      <c r="B345" s="935"/>
      <c r="C345" s="936" t="s">
        <v>631</v>
      </c>
      <c r="D345" s="946" t="s">
        <v>32</v>
      </c>
      <c r="E345" s="951">
        <v>17000</v>
      </c>
      <c r="F345" s="955">
        <f t="shared" si="62"/>
        <v>9930</v>
      </c>
      <c r="G345" s="949">
        <v>26930</v>
      </c>
      <c r="H345" s="958">
        <v>23719.11</v>
      </c>
      <c r="I345" s="941">
        <v>0</v>
      </c>
      <c r="J345" s="1250">
        <f t="shared" si="52"/>
        <v>0.8807690308206462</v>
      </c>
      <c r="K345" s="941">
        <v>0</v>
      </c>
      <c r="L345" s="941">
        <v>0</v>
      </c>
      <c r="M345" s="940"/>
    </row>
    <row r="346" spans="1:13" ht="12.75">
      <c r="A346" s="935"/>
      <c r="B346" s="935"/>
      <c r="C346" s="936" t="s">
        <v>546</v>
      </c>
      <c r="D346" s="946" t="s">
        <v>37</v>
      </c>
      <c r="E346" s="951">
        <v>0</v>
      </c>
      <c r="F346" s="955">
        <f t="shared" si="62"/>
        <v>0</v>
      </c>
      <c r="G346" s="949" t="s">
        <v>370</v>
      </c>
      <c r="H346" s="958">
        <v>0</v>
      </c>
      <c r="I346" s="941">
        <v>0</v>
      </c>
      <c r="J346" s="1250">
        <v>0</v>
      </c>
      <c r="K346" s="941">
        <v>0</v>
      </c>
      <c r="L346" s="941">
        <v>0</v>
      </c>
      <c r="M346" s="940"/>
    </row>
    <row r="347" spans="1:13" ht="12.75">
      <c r="A347" s="935"/>
      <c r="B347" s="935"/>
      <c r="C347" s="936" t="s">
        <v>552</v>
      </c>
      <c r="D347" s="946" t="s">
        <v>74</v>
      </c>
      <c r="E347" s="951">
        <v>5000</v>
      </c>
      <c r="F347" s="955">
        <f t="shared" si="62"/>
        <v>6000</v>
      </c>
      <c r="G347" s="949">
        <v>11000</v>
      </c>
      <c r="H347" s="958">
        <v>8831.33</v>
      </c>
      <c r="I347" s="941">
        <v>0</v>
      </c>
      <c r="J347" s="1250">
        <f t="shared" si="52"/>
        <v>0.8028481818181818</v>
      </c>
      <c r="K347" s="941">
        <v>0</v>
      </c>
      <c r="L347" s="941">
        <v>0</v>
      </c>
      <c r="M347" s="940"/>
    </row>
    <row r="348" spans="1:13" ht="12.75">
      <c r="A348" s="935"/>
      <c r="B348" s="935"/>
      <c r="C348" s="936" t="s">
        <v>325</v>
      </c>
      <c r="D348" s="946" t="s">
        <v>16</v>
      </c>
      <c r="E348" s="951">
        <v>0</v>
      </c>
      <c r="F348" s="955">
        <f t="shared" si="62"/>
        <v>0</v>
      </c>
      <c r="G348" s="949" t="s">
        <v>370</v>
      </c>
      <c r="H348" s="958">
        <v>0</v>
      </c>
      <c r="I348" s="941">
        <v>0</v>
      </c>
      <c r="J348" s="1250">
        <v>0</v>
      </c>
      <c r="K348" s="941">
        <v>0</v>
      </c>
      <c r="L348" s="941">
        <v>0</v>
      </c>
      <c r="M348" s="940"/>
    </row>
    <row r="349" spans="1:13" ht="22.5" hidden="1">
      <c r="A349" s="935"/>
      <c r="B349" s="935"/>
      <c r="C349" s="936" t="s">
        <v>335</v>
      </c>
      <c r="D349" s="946" t="s">
        <v>553</v>
      </c>
      <c r="E349" s="951">
        <v>0</v>
      </c>
      <c r="F349" s="955">
        <f t="shared" si="62"/>
        <v>0</v>
      </c>
      <c r="G349" s="949" t="s">
        <v>370</v>
      </c>
      <c r="H349" s="958">
        <v>0</v>
      </c>
      <c r="I349" s="941">
        <v>0</v>
      </c>
      <c r="J349" s="1250">
        <v>0</v>
      </c>
      <c r="K349" s="941">
        <v>0</v>
      </c>
      <c r="L349" s="941">
        <v>0</v>
      </c>
      <c r="M349" s="940"/>
    </row>
    <row r="350" spans="1:13" ht="22.5" hidden="1">
      <c r="A350" s="935"/>
      <c r="B350" s="935"/>
      <c r="C350" s="936" t="s">
        <v>598</v>
      </c>
      <c r="D350" s="946" t="s">
        <v>40</v>
      </c>
      <c r="E350" s="951">
        <v>0</v>
      </c>
      <c r="F350" s="955">
        <f t="shared" si="62"/>
        <v>0</v>
      </c>
      <c r="G350" s="949">
        <v>0</v>
      </c>
      <c r="H350" s="958">
        <v>0</v>
      </c>
      <c r="I350" s="941">
        <v>0</v>
      </c>
      <c r="J350" s="1250">
        <v>0</v>
      </c>
      <c r="K350" s="941">
        <v>0</v>
      </c>
      <c r="L350" s="941">
        <v>0</v>
      </c>
      <c r="M350" s="940"/>
    </row>
    <row r="351" spans="1:13" ht="146.25" hidden="1">
      <c r="A351" s="932"/>
      <c r="B351" s="938" t="s">
        <v>650</v>
      </c>
      <c r="C351" s="933"/>
      <c r="D351" s="1534" t="s">
        <v>651</v>
      </c>
      <c r="E351" s="950">
        <f>E352+E353+E354+E355</f>
        <v>0</v>
      </c>
      <c r="F351" s="954">
        <f aca="true" t="shared" si="63" ref="F351:L351">F352+F353+F354+F355</f>
        <v>0</v>
      </c>
      <c r="G351" s="947">
        <f t="shared" si="63"/>
        <v>0</v>
      </c>
      <c r="H351" s="950">
        <f t="shared" si="63"/>
        <v>0</v>
      </c>
      <c r="I351" s="954">
        <f t="shared" si="63"/>
        <v>0</v>
      </c>
      <c r="J351" s="959">
        <v>0</v>
      </c>
      <c r="K351" s="954">
        <f t="shared" si="63"/>
        <v>0</v>
      </c>
      <c r="L351" s="1439">
        <f t="shared" si="63"/>
        <v>0</v>
      </c>
      <c r="M351" s="940"/>
    </row>
    <row r="352" spans="1:13" ht="22.5" hidden="1">
      <c r="A352" s="935"/>
      <c r="B352" s="935"/>
      <c r="C352" s="936" t="s">
        <v>576</v>
      </c>
      <c r="D352" s="946" t="s">
        <v>577</v>
      </c>
      <c r="E352" s="951">
        <v>0</v>
      </c>
      <c r="F352" s="955">
        <f>G352-E352</f>
        <v>0</v>
      </c>
      <c r="G352" s="949" t="s">
        <v>370</v>
      </c>
      <c r="H352" s="958">
        <v>0</v>
      </c>
      <c r="I352" s="941">
        <v>0</v>
      </c>
      <c r="J352" s="1250">
        <v>0</v>
      </c>
      <c r="K352" s="941">
        <v>0</v>
      </c>
      <c r="L352" s="941">
        <v>0</v>
      </c>
      <c r="M352" s="940"/>
    </row>
    <row r="353" spans="1:13" ht="22.5" hidden="1">
      <c r="A353" s="935"/>
      <c r="B353" s="935"/>
      <c r="C353" s="936" t="s">
        <v>543</v>
      </c>
      <c r="D353" s="946" t="s">
        <v>12</v>
      </c>
      <c r="E353" s="951">
        <v>0</v>
      </c>
      <c r="F353" s="955">
        <f>G353-E353</f>
        <v>0</v>
      </c>
      <c r="G353" s="949">
        <v>0</v>
      </c>
      <c r="H353" s="958">
        <v>0</v>
      </c>
      <c r="I353" s="941">
        <v>0</v>
      </c>
      <c r="J353" s="1250">
        <v>0</v>
      </c>
      <c r="K353" s="941">
        <v>0</v>
      </c>
      <c r="L353" s="941">
        <v>0</v>
      </c>
      <c r="M353" s="940"/>
    </row>
    <row r="354" spans="1:13" ht="12.75" hidden="1">
      <c r="A354" s="935"/>
      <c r="B354" s="935"/>
      <c r="C354" s="936" t="s">
        <v>333</v>
      </c>
      <c r="D354" s="946" t="s">
        <v>13</v>
      </c>
      <c r="E354" s="951">
        <v>0</v>
      </c>
      <c r="F354" s="955">
        <f>G354-E354</f>
        <v>0</v>
      </c>
      <c r="G354" s="949">
        <v>0</v>
      </c>
      <c r="H354" s="958">
        <v>0</v>
      </c>
      <c r="I354" s="941">
        <v>0</v>
      </c>
      <c r="J354" s="1250">
        <v>0</v>
      </c>
      <c r="K354" s="941">
        <v>0</v>
      </c>
      <c r="L354" s="941">
        <v>0</v>
      </c>
      <c r="M354" s="940"/>
    </row>
    <row r="355" spans="1:13" ht="33.75" hidden="1">
      <c r="A355" s="935"/>
      <c r="B355" s="935"/>
      <c r="C355" s="936" t="s">
        <v>334</v>
      </c>
      <c r="D355" s="1266" t="s">
        <v>875</v>
      </c>
      <c r="E355" s="951">
        <v>0</v>
      </c>
      <c r="F355" s="955">
        <f>G355-E355</f>
        <v>0</v>
      </c>
      <c r="G355" s="949">
        <v>0</v>
      </c>
      <c r="H355" s="958">
        <v>0</v>
      </c>
      <c r="I355" s="941">
        <v>0</v>
      </c>
      <c r="J355" s="1250">
        <v>0</v>
      </c>
      <c r="K355" s="941">
        <v>0</v>
      </c>
      <c r="L355" s="941">
        <v>0</v>
      </c>
      <c r="M355" s="940"/>
    </row>
    <row r="356" spans="1:13" ht="45">
      <c r="A356" s="932"/>
      <c r="B356" s="938" t="s">
        <v>486</v>
      </c>
      <c r="C356" s="933"/>
      <c r="D356" s="945" t="s">
        <v>31</v>
      </c>
      <c r="E356" s="950">
        <f>E357+E358+E359</f>
        <v>0</v>
      </c>
      <c r="F356" s="954">
        <f>F357+F358+F359</f>
        <v>146643.81000000003</v>
      </c>
      <c r="G356" s="947">
        <f>G357+G358+G359</f>
        <v>146643.81000000003</v>
      </c>
      <c r="H356" s="950">
        <f>H357+H358+H359</f>
        <v>144605.90000000002</v>
      </c>
      <c r="I356" s="954">
        <f>I357+I358+I359</f>
        <v>0</v>
      </c>
      <c r="J356" s="959">
        <f aca="true" t="shared" si="64" ref="J356:J414">H356/G356</f>
        <v>0.9861029933687621</v>
      </c>
      <c r="K356" s="954">
        <f>K357+K358+K359</f>
        <v>0</v>
      </c>
      <c r="L356" s="1439">
        <f>L357+L358+L359</f>
        <v>0</v>
      </c>
      <c r="M356" s="940"/>
    </row>
    <row r="357" spans="1:13" ht="45">
      <c r="A357" s="935"/>
      <c r="B357" s="935"/>
      <c r="C357" s="936" t="s">
        <v>550</v>
      </c>
      <c r="D357" s="946" t="s">
        <v>265</v>
      </c>
      <c r="E357" s="951">
        <v>0</v>
      </c>
      <c r="F357" s="955">
        <f>G357-E357</f>
        <v>0</v>
      </c>
      <c r="G357" s="949">
        <v>0</v>
      </c>
      <c r="H357" s="958">
        <v>0</v>
      </c>
      <c r="I357" s="941">
        <v>0</v>
      </c>
      <c r="J357" s="1250">
        <v>0</v>
      </c>
      <c r="K357" s="941">
        <v>0</v>
      </c>
      <c r="L357" s="941">
        <v>0</v>
      </c>
      <c r="M357" s="940"/>
    </row>
    <row r="358" spans="1:13" ht="12.75">
      <c r="A358" s="935"/>
      <c r="B358" s="935"/>
      <c r="C358" s="936" t="s">
        <v>324</v>
      </c>
      <c r="D358" s="946" t="s">
        <v>15</v>
      </c>
      <c r="E358" s="951">
        <v>0</v>
      </c>
      <c r="F358" s="955">
        <f>G358-E358</f>
        <v>1451.89</v>
      </c>
      <c r="G358" s="949">
        <v>1451.89</v>
      </c>
      <c r="H358" s="958">
        <v>1451.89</v>
      </c>
      <c r="I358" s="941">
        <v>0</v>
      </c>
      <c r="J358" s="1250">
        <f t="shared" si="64"/>
        <v>1</v>
      </c>
      <c r="K358" s="941">
        <v>0</v>
      </c>
      <c r="L358" s="941">
        <v>0</v>
      </c>
      <c r="M358" s="940"/>
    </row>
    <row r="359" spans="1:13" ht="22.5">
      <c r="A359" s="935"/>
      <c r="B359" s="935"/>
      <c r="C359" s="936" t="s">
        <v>631</v>
      </c>
      <c r="D359" s="946" t="s">
        <v>32</v>
      </c>
      <c r="E359" s="951">
        <v>0</v>
      </c>
      <c r="F359" s="955">
        <f>G359-E359</f>
        <v>145191.92</v>
      </c>
      <c r="G359" s="949">
        <v>145191.92</v>
      </c>
      <c r="H359" s="958">
        <v>143154.01</v>
      </c>
      <c r="I359" s="941">
        <v>0</v>
      </c>
      <c r="J359" s="1250">
        <f t="shared" si="64"/>
        <v>0.98596402609732</v>
      </c>
      <c r="K359" s="941">
        <v>0</v>
      </c>
      <c r="L359" s="941">
        <v>0</v>
      </c>
      <c r="M359" s="940"/>
    </row>
    <row r="360" spans="1:13" ht="15">
      <c r="A360" s="932"/>
      <c r="B360" s="938" t="s">
        <v>328</v>
      </c>
      <c r="C360" s="933"/>
      <c r="D360" s="945" t="s">
        <v>10</v>
      </c>
      <c r="E360" s="950">
        <f>E361+E362+E363+E364+E367+E368+E369+E370+E371+E372+E373+E374+E375+E376+E377+E378+E379+E380+E381+E383+E382+E384+E385+E386+E365+E366</f>
        <v>622696.56</v>
      </c>
      <c r="F360" s="950">
        <f>F361+F362+F363+F364+F367+F368+F369+F370+F371+F372+F373+F374+F375+F376+F377+F378+F379+F380+F381+F383+F382+F384+F385+F386+F365+F366</f>
        <v>176079.81999999995</v>
      </c>
      <c r="G360" s="950">
        <f>G361+G362+G363+G364+G367+G368+G369+G370+G371+G372+G373+G374+G375+G376+G377+G378+G379+G380+G381+G383+G382+G384+G385+G386+G365+G366</f>
        <v>798776.3799999999</v>
      </c>
      <c r="H360" s="950">
        <f>H361+H362+H363+H364+H367+H368+H369+H370+H371+H372+H373+H374+H375+H376+H377+H378+H379+H380+H381+H383+H382+H384+H385+H386+H365+H366</f>
        <v>672596.95</v>
      </c>
      <c r="I360" s="950">
        <f>I361+I362+I363+I364+I367+I368+I369+I370+I371+I372+I373+I374+I375+I376+I377+I378+I379+I380+I381+I383+I382+I384+I385+I386+I365+I366</f>
        <v>0</v>
      </c>
      <c r="J360" s="959">
        <f t="shared" si="64"/>
        <v>0.8420340997063535</v>
      </c>
      <c r="K360" s="954">
        <f>K361+K362+K363+K364+K367+K368+K369+K370+K371+K372+K373+K374+K375+K376+K377+K378+K379+K380+K381+K383+K382+K384+K385+K386</f>
        <v>0</v>
      </c>
      <c r="L360" s="1439">
        <f>L361+L362+L363+L364+L367+L368+L369+L370+L371+L372+L373+L374+L375+L376+L377+L378+L379+L380+L381+L383+L382+L384+L385+L386</f>
        <v>7146.3</v>
      </c>
      <c r="M360" s="940"/>
    </row>
    <row r="361" spans="1:13" ht="90">
      <c r="A361" s="935"/>
      <c r="B361" s="935"/>
      <c r="C361" s="936" t="s">
        <v>487</v>
      </c>
      <c r="D361" s="1535" t="s">
        <v>652</v>
      </c>
      <c r="E361" s="951">
        <v>6883.97</v>
      </c>
      <c r="F361" s="955">
        <f>G361-E361</f>
        <v>-6883.97</v>
      </c>
      <c r="G361" s="949">
        <v>0</v>
      </c>
      <c r="H361" s="958">
        <v>0</v>
      </c>
      <c r="I361" s="941">
        <v>0</v>
      </c>
      <c r="J361" s="1250">
        <v>0</v>
      </c>
      <c r="K361" s="941">
        <v>0</v>
      </c>
      <c r="L361" s="941">
        <v>0</v>
      </c>
      <c r="M361" s="940"/>
    </row>
    <row r="362" spans="1:13" ht="90">
      <c r="A362" s="935"/>
      <c r="B362" s="935"/>
      <c r="C362" s="936" t="s">
        <v>489</v>
      </c>
      <c r="D362" s="1535" t="s">
        <v>652</v>
      </c>
      <c r="E362" s="951">
        <v>808.25</v>
      </c>
      <c r="F362" s="955">
        <f aca="true" t="shared" si="65" ref="F362:F386">G362-E362</f>
        <v>-808.25</v>
      </c>
      <c r="G362" s="949">
        <v>0</v>
      </c>
      <c r="H362" s="958">
        <v>0</v>
      </c>
      <c r="I362" s="941">
        <v>0</v>
      </c>
      <c r="J362" s="1250">
        <v>0</v>
      </c>
      <c r="K362" s="941">
        <v>0</v>
      </c>
      <c r="L362" s="941">
        <v>0</v>
      </c>
      <c r="M362" s="940"/>
    </row>
    <row r="363" spans="1:13" ht="78.75">
      <c r="A363" s="935"/>
      <c r="B363" s="935"/>
      <c r="C363" s="936" t="s">
        <v>505</v>
      </c>
      <c r="D363" s="946" t="s">
        <v>617</v>
      </c>
      <c r="E363" s="951">
        <v>26500</v>
      </c>
      <c r="F363" s="955">
        <f t="shared" si="65"/>
        <v>0</v>
      </c>
      <c r="G363" s="949" t="s">
        <v>653</v>
      </c>
      <c r="H363" s="958">
        <v>26500</v>
      </c>
      <c r="I363" s="941">
        <v>0</v>
      </c>
      <c r="J363" s="1250">
        <f t="shared" si="64"/>
        <v>1</v>
      </c>
      <c r="K363" s="941">
        <v>0</v>
      </c>
      <c r="L363" s="941">
        <v>0</v>
      </c>
      <c r="M363" s="940"/>
    </row>
    <row r="364" spans="1:13" ht="56.25">
      <c r="A364" s="935"/>
      <c r="B364" s="935"/>
      <c r="C364" s="936" t="s">
        <v>367</v>
      </c>
      <c r="D364" s="946" t="s">
        <v>654</v>
      </c>
      <c r="E364" s="951">
        <v>0</v>
      </c>
      <c r="F364" s="955">
        <f t="shared" si="65"/>
        <v>0</v>
      </c>
      <c r="G364" s="949">
        <v>0</v>
      </c>
      <c r="H364" s="958">
        <v>0</v>
      </c>
      <c r="I364" s="941">
        <v>0</v>
      </c>
      <c r="J364" s="1250">
        <v>0</v>
      </c>
      <c r="K364" s="941">
        <v>0</v>
      </c>
      <c r="L364" s="941">
        <v>0</v>
      </c>
      <c r="M364" s="940"/>
    </row>
    <row r="365" spans="1:13" ht="12.75">
      <c r="A365" s="935"/>
      <c r="B365" s="935"/>
      <c r="C365" s="984" t="s">
        <v>856</v>
      </c>
      <c r="D365" s="946"/>
      <c r="E365" s="951">
        <v>0</v>
      </c>
      <c r="F365" s="955">
        <f t="shared" si="65"/>
        <v>83799.24</v>
      </c>
      <c r="G365" s="949">
        <v>83799.24</v>
      </c>
      <c r="H365" s="958">
        <v>0</v>
      </c>
      <c r="I365" s="941">
        <v>0</v>
      </c>
      <c r="J365" s="1250">
        <v>0</v>
      </c>
      <c r="K365" s="941">
        <v>0</v>
      </c>
      <c r="L365" s="941">
        <v>0</v>
      </c>
      <c r="M365" s="940"/>
    </row>
    <row r="366" spans="1:13" ht="12.75">
      <c r="A366" s="935"/>
      <c r="B366" s="935"/>
      <c r="C366" s="984" t="s">
        <v>858</v>
      </c>
      <c r="D366" s="946"/>
      <c r="E366" s="951">
        <v>0</v>
      </c>
      <c r="F366" s="955">
        <f t="shared" si="65"/>
        <v>29065.27</v>
      </c>
      <c r="G366" s="949">
        <v>29065.27</v>
      </c>
      <c r="H366" s="958">
        <v>0</v>
      </c>
      <c r="I366" s="941">
        <v>0</v>
      </c>
      <c r="J366" s="1250">
        <v>0</v>
      </c>
      <c r="K366" s="941">
        <v>0</v>
      </c>
      <c r="L366" s="941">
        <v>0</v>
      </c>
      <c r="M366" s="940"/>
    </row>
    <row r="367" spans="1:13" ht="12.75" hidden="1">
      <c r="A367" s="935"/>
      <c r="B367" s="935"/>
      <c r="C367" s="936" t="s">
        <v>655</v>
      </c>
      <c r="D367" s="946" t="s">
        <v>84</v>
      </c>
      <c r="E367" s="951">
        <v>0</v>
      </c>
      <c r="F367" s="955">
        <f t="shared" si="65"/>
        <v>0</v>
      </c>
      <c r="G367" s="949">
        <v>0</v>
      </c>
      <c r="H367" s="958">
        <v>0</v>
      </c>
      <c r="I367" s="941">
        <v>0</v>
      </c>
      <c r="J367" s="1250">
        <v>0</v>
      </c>
      <c r="K367" s="941">
        <v>0</v>
      </c>
      <c r="L367" s="941">
        <v>0</v>
      </c>
      <c r="M367" s="940"/>
    </row>
    <row r="368" spans="1:13" ht="12.75" hidden="1">
      <c r="A368" s="935"/>
      <c r="B368" s="935"/>
      <c r="C368" s="936" t="s">
        <v>656</v>
      </c>
      <c r="D368" s="946" t="s">
        <v>84</v>
      </c>
      <c r="E368" s="951">
        <v>0</v>
      </c>
      <c r="F368" s="955">
        <f t="shared" si="65"/>
        <v>0</v>
      </c>
      <c r="G368" s="949">
        <v>0</v>
      </c>
      <c r="H368" s="958">
        <v>0</v>
      </c>
      <c r="I368" s="941">
        <v>0</v>
      </c>
      <c r="J368" s="1250">
        <v>0</v>
      </c>
      <c r="K368" s="941">
        <v>0</v>
      </c>
      <c r="L368" s="941">
        <v>0</v>
      </c>
      <c r="M368" s="940"/>
    </row>
    <row r="369" spans="1:13" ht="22.5">
      <c r="A369" s="935"/>
      <c r="B369" s="935"/>
      <c r="C369" s="936" t="s">
        <v>657</v>
      </c>
      <c r="D369" s="946" t="s">
        <v>12</v>
      </c>
      <c r="E369" s="951">
        <v>28071.38</v>
      </c>
      <c r="F369" s="955">
        <f t="shared" si="65"/>
        <v>435.2599999999984</v>
      </c>
      <c r="G369" s="949">
        <v>28506.64</v>
      </c>
      <c r="H369" s="958">
        <v>28506.64</v>
      </c>
      <c r="I369" s="941">
        <v>0</v>
      </c>
      <c r="J369" s="1250">
        <f t="shared" si="64"/>
        <v>1</v>
      </c>
      <c r="K369" s="941">
        <v>0</v>
      </c>
      <c r="L369" s="941">
        <v>0</v>
      </c>
      <c r="M369" s="940"/>
    </row>
    <row r="370" spans="1:13" ht="22.5">
      <c r="A370" s="935"/>
      <c r="B370" s="935"/>
      <c r="C370" s="936" t="s">
        <v>658</v>
      </c>
      <c r="D370" s="946" t="s">
        <v>12</v>
      </c>
      <c r="E370" s="951">
        <v>3266.92</v>
      </c>
      <c r="F370" s="955">
        <f t="shared" si="65"/>
        <v>56.11999999999989</v>
      </c>
      <c r="G370" s="949">
        <v>3323.04</v>
      </c>
      <c r="H370" s="958">
        <v>3323.04</v>
      </c>
      <c r="I370" s="941">
        <v>0</v>
      </c>
      <c r="J370" s="1250">
        <f t="shared" si="64"/>
        <v>1</v>
      </c>
      <c r="K370" s="941">
        <v>0</v>
      </c>
      <c r="L370" s="941">
        <v>0</v>
      </c>
      <c r="M370" s="940"/>
    </row>
    <row r="371" spans="1:13" ht="12.75">
      <c r="A371" s="935"/>
      <c r="B371" s="935"/>
      <c r="C371" s="936" t="s">
        <v>333</v>
      </c>
      <c r="D371" s="946" t="s">
        <v>13</v>
      </c>
      <c r="E371" s="951">
        <v>983</v>
      </c>
      <c r="F371" s="955">
        <f t="shared" si="65"/>
        <v>0</v>
      </c>
      <c r="G371" s="949">
        <v>983</v>
      </c>
      <c r="H371" s="958">
        <v>980.8</v>
      </c>
      <c r="I371" s="941">
        <v>0</v>
      </c>
      <c r="J371" s="1250">
        <f t="shared" si="64"/>
        <v>0.997761953204476</v>
      </c>
      <c r="K371" s="941">
        <v>0</v>
      </c>
      <c r="L371" s="941">
        <v>0</v>
      </c>
      <c r="M371" s="940"/>
    </row>
    <row r="372" spans="1:13" ht="12.75">
      <c r="A372" s="935"/>
      <c r="B372" s="935"/>
      <c r="C372" s="936" t="s">
        <v>659</v>
      </c>
      <c r="D372" s="946" t="s">
        <v>13</v>
      </c>
      <c r="E372" s="951">
        <v>6003.79</v>
      </c>
      <c r="F372" s="955">
        <f t="shared" si="65"/>
        <v>-1108.2799999999997</v>
      </c>
      <c r="G372" s="949">
        <v>4895.51</v>
      </c>
      <c r="H372" s="958">
        <v>4895.51</v>
      </c>
      <c r="I372" s="941">
        <v>0</v>
      </c>
      <c r="J372" s="1250">
        <f t="shared" si="64"/>
        <v>1</v>
      </c>
      <c r="K372" s="941">
        <v>0</v>
      </c>
      <c r="L372" s="941">
        <v>0</v>
      </c>
      <c r="M372" s="940"/>
    </row>
    <row r="373" spans="1:13" ht="12.75">
      <c r="A373" s="935"/>
      <c r="B373" s="935"/>
      <c r="C373" s="936" t="s">
        <v>660</v>
      </c>
      <c r="D373" s="946" t="s">
        <v>13</v>
      </c>
      <c r="E373" s="951">
        <v>699.86</v>
      </c>
      <c r="F373" s="955">
        <f t="shared" si="65"/>
        <v>-129.14999999999998</v>
      </c>
      <c r="G373" s="949">
        <v>570.71</v>
      </c>
      <c r="H373" s="958">
        <v>570.71</v>
      </c>
      <c r="I373" s="941">
        <v>0</v>
      </c>
      <c r="J373" s="1250">
        <f t="shared" si="64"/>
        <v>1</v>
      </c>
      <c r="K373" s="941">
        <v>0</v>
      </c>
      <c r="L373" s="941">
        <v>0</v>
      </c>
      <c r="M373" s="940"/>
    </row>
    <row r="374" spans="1:13" ht="33.75">
      <c r="A374" s="935"/>
      <c r="B374" s="935"/>
      <c r="C374" s="936" t="s">
        <v>334</v>
      </c>
      <c r="D374" s="1266" t="s">
        <v>875</v>
      </c>
      <c r="E374" s="951">
        <v>140</v>
      </c>
      <c r="F374" s="955">
        <f t="shared" si="65"/>
        <v>0</v>
      </c>
      <c r="G374" s="949">
        <v>140</v>
      </c>
      <c r="H374" s="958">
        <v>139.25</v>
      </c>
      <c r="I374" s="941">
        <v>0</v>
      </c>
      <c r="J374" s="1250">
        <f t="shared" si="64"/>
        <v>0.9946428571428572</v>
      </c>
      <c r="K374" s="941">
        <v>0</v>
      </c>
      <c r="L374" s="941">
        <v>0</v>
      </c>
      <c r="M374" s="940"/>
    </row>
    <row r="375" spans="1:13" ht="12.75">
      <c r="A375" s="935"/>
      <c r="B375" s="935"/>
      <c r="C375" s="936" t="s">
        <v>661</v>
      </c>
      <c r="D375" s="946" t="s">
        <v>14</v>
      </c>
      <c r="E375" s="951">
        <v>855.69</v>
      </c>
      <c r="F375" s="955">
        <f t="shared" si="65"/>
        <v>-298.69000000000005</v>
      </c>
      <c r="G375" s="949">
        <v>557</v>
      </c>
      <c r="H375" s="958">
        <v>557</v>
      </c>
      <c r="I375" s="941">
        <v>0</v>
      </c>
      <c r="J375" s="1250">
        <f t="shared" si="64"/>
        <v>1</v>
      </c>
      <c r="K375" s="941">
        <v>0</v>
      </c>
      <c r="L375" s="941">
        <v>0</v>
      </c>
      <c r="M375" s="940"/>
    </row>
    <row r="376" spans="1:13" ht="12.75">
      <c r="A376" s="935"/>
      <c r="B376" s="935"/>
      <c r="C376" s="936" t="s">
        <v>662</v>
      </c>
      <c r="D376" s="946" t="s">
        <v>14</v>
      </c>
      <c r="E376" s="951">
        <v>99.74</v>
      </c>
      <c r="F376" s="955">
        <f t="shared" si="65"/>
        <v>-34.83999999999999</v>
      </c>
      <c r="G376" s="949">
        <v>64.9</v>
      </c>
      <c r="H376" s="958">
        <v>64.9</v>
      </c>
      <c r="I376" s="941">
        <v>0</v>
      </c>
      <c r="J376" s="1250">
        <f t="shared" si="64"/>
        <v>1</v>
      </c>
      <c r="K376" s="941">
        <v>0</v>
      </c>
      <c r="L376" s="941">
        <v>0</v>
      </c>
      <c r="M376" s="940"/>
    </row>
    <row r="377" spans="1:13" ht="12.75">
      <c r="A377" s="935"/>
      <c r="B377" s="935"/>
      <c r="C377" s="936" t="s">
        <v>331</v>
      </c>
      <c r="D377" s="946" t="s">
        <v>28</v>
      </c>
      <c r="E377" s="951">
        <v>5720</v>
      </c>
      <c r="F377" s="955">
        <f t="shared" si="65"/>
        <v>0</v>
      </c>
      <c r="G377" s="949">
        <v>5720</v>
      </c>
      <c r="H377" s="958">
        <v>5684.25</v>
      </c>
      <c r="I377" s="941">
        <v>0</v>
      </c>
      <c r="J377" s="1250">
        <f t="shared" si="64"/>
        <v>0.99375</v>
      </c>
      <c r="K377" s="941">
        <v>0</v>
      </c>
      <c r="L377" s="941">
        <v>0</v>
      </c>
      <c r="M377" s="940"/>
    </row>
    <row r="378" spans="1:13" ht="12.75">
      <c r="A378" s="935"/>
      <c r="B378" s="935"/>
      <c r="C378" s="936" t="s">
        <v>324</v>
      </c>
      <c r="D378" s="946" t="s">
        <v>15</v>
      </c>
      <c r="E378" s="951">
        <v>2000</v>
      </c>
      <c r="F378" s="955">
        <f t="shared" si="65"/>
        <v>6200</v>
      </c>
      <c r="G378" s="949">
        <v>8200</v>
      </c>
      <c r="H378" s="958">
        <v>8032.7</v>
      </c>
      <c r="I378" s="941">
        <v>0</v>
      </c>
      <c r="J378" s="1250">
        <f t="shared" si="64"/>
        <v>0.9795975609756097</v>
      </c>
      <c r="K378" s="941">
        <v>0</v>
      </c>
      <c r="L378" s="941">
        <v>7146.3</v>
      </c>
      <c r="M378" s="940"/>
    </row>
    <row r="379" spans="1:13" ht="12.75">
      <c r="A379" s="935"/>
      <c r="B379" s="935"/>
      <c r="C379" s="936" t="s">
        <v>663</v>
      </c>
      <c r="D379" s="946" t="s">
        <v>15</v>
      </c>
      <c r="E379" s="951">
        <v>0</v>
      </c>
      <c r="F379" s="955">
        <f t="shared" si="65"/>
        <v>0</v>
      </c>
      <c r="G379" s="949">
        <v>0</v>
      </c>
      <c r="H379" s="958">
        <v>0</v>
      </c>
      <c r="I379" s="941">
        <v>0</v>
      </c>
      <c r="J379" s="1250">
        <v>0</v>
      </c>
      <c r="K379" s="941">
        <v>0</v>
      </c>
      <c r="L379" s="941">
        <v>0</v>
      </c>
      <c r="M379" s="940"/>
    </row>
    <row r="380" spans="1:13" ht="12.75">
      <c r="A380" s="935"/>
      <c r="B380" s="935"/>
      <c r="C380" s="936" t="s">
        <v>664</v>
      </c>
      <c r="D380" s="946" t="s">
        <v>15</v>
      </c>
      <c r="E380" s="951">
        <v>0</v>
      </c>
      <c r="F380" s="955">
        <f t="shared" si="65"/>
        <v>0</v>
      </c>
      <c r="G380" s="949">
        <v>0</v>
      </c>
      <c r="H380" s="958">
        <v>0</v>
      </c>
      <c r="I380" s="941">
        <v>0</v>
      </c>
      <c r="J380" s="1250">
        <v>0</v>
      </c>
      <c r="K380" s="941">
        <v>0</v>
      </c>
      <c r="L380" s="941">
        <v>0</v>
      </c>
      <c r="M380" s="940"/>
    </row>
    <row r="381" spans="1:13" ht="22.5">
      <c r="A381" s="935"/>
      <c r="B381" s="935"/>
      <c r="C381" s="936" t="s">
        <v>665</v>
      </c>
      <c r="D381" s="946" t="s">
        <v>32</v>
      </c>
      <c r="E381" s="951">
        <v>304259.96</v>
      </c>
      <c r="F381" s="955">
        <f t="shared" si="65"/>
        <v>11357.699999999953</v>
      </c>
      <c r="G381" s="949">
        <v>315617.66</v>
      </c>
      <c r="H381" s="958">
        <v>315617.66</v>
      </c>
      <c r="I381" s="941">
        <v>0</v>
      </c>
      <c r="J381" s="1250">
        <f t="shared" si="64"/>
        <v>1</v>
      </c>
      <c r="K381" s="941">
        <v>0</v>
      </c>
      <c r="L381" s="941">
        <v>0</v>
      </c>
      <c r="M381" s="940"/>
    </row>
    <row r="382" spans="1:13" ht="22.5">
      <c r="A382" s="935"/>
      <c r="B382" s="935"/>
      <c r="C382" s="936" t="s">
        <v>666</v>
      </c>
      <c r="D382" s="946" t="s">
        <v>32</v>
      </c>
      <c r="E382" s="951">
        <v>0</v>
      </c>
      <c r="F382" s="955">
        <f t="shared" si="65"/>
        <v>36791.43</v>
      </c>
      <c r="G382" s="949">
        <v>36791.43</v>
      </c>
      <c r="H382" s="958">
        <v>36791.43</v>
      </c>
      <c r="I382" s="941">
        <v>0</v>
      </c>
      <c r="J382" s="1250">
        <f t="shared" si="64"/>
        <v>1</v>
      </c>
      <c r="K382" s="941">
        <v>0</v>
      </c>
      <c r="L382" s="941">
        <v>0</v>
      </c>
      <c r="M382" s="940"/>
    </row>
    <row r="383" spans="1:13" ht="12.75">
      <c r="A383" s="935"/>
      <c r="B383" s="935"/>
      <c r="C383" s="936" t="s">
        <v>325</v>
      </c>
      <c r="D383" s="946" t="s">
        <v>16</v>
      </c>
      <c r="E383" s="951">
        <v>34280</v>
      </c>
      <c r="F383" s="955">
        <f t="shared" si="65"/>
        <v>-1000</v>
      </c>
      <c r="G383" s="949">
        <v>33280</v>
      </c>
      <c r="H383" s="958">
        <v>20171.08</v>
      </c>
      <c r="I383" s="941">
        <v>0</v>
      </c>
      <c r="J383" s="1250">
        <f t="shared" si="64"/>
        <v>0.6061021634615386</v>
      </c>
      <c r="K383" s="941">
        <v>0</v>
      </c>
      <c r="L383" s="941">
        <v>0</v>
      </c>
      <c r="M383" s="940"/>
    </row>
    <row r="384" spans="1:13" ht="12.75">
      <c r="A384" s="935"/>
      <c r="B384" s="935"/>
      <c r="C384" s="936" t="s">
        <v>667</v>
      </c>
      <c r="D384" s="946" t="s">
        <v>16</v>
      </c>
      <c r="E384" s="951">
        <v>0</v>
      </c>
      <c r="F384" s="955">
        <f t="shared" si="65"/>
        <v>14360.04</v>
      </c>
      <c r="G384" s="949">
        <v>14360.04</v>
      </c>
      <c r="H384" s="958">
        <v>14360.04</v>
      </c>
      <c r="I384" s="941">
        <v>0</v>
      </c>
      <c r="J384" s="1250">
        <f t="shared" si="64"/>
        <v>1</v>
      </c>
      <c r="K384" s="941">
        <v>0</v>
      </c>
      <c r="L384" s="941">
        <v>0</v>
      </c>
      <c r="M384" s="940"/>
    </row>
    <row r="385" spans="1:13" ht="12.75">
      <c r="A385" s="935"/>
      <c r="B385" s="935"/>
      <c r="C385" s="936" t="s">
        <v>668</v>
      </c>
      <c r="D385" s="946" t="s">
        <v>16</v>
      </c>
      <c r="E385" s="951">
        <v>0</v>
      </c>
      <c r="F385" s="955">
        <f t="shared" si="65"/>
        <v>1673.94</v>
      </c>
      <c r="G385" s="949">
        <v>1673.94</v>
      </c>
      <c r="H385" s="958">
        <v>1673.94</v>
      </c>
      <c r="I385" s="941">
        <v>0</v>
      </c>
      <c r="J385" s="1250">
        <f t="shared" si="64"/>
        <v>1</v>
      </c>
      <c r="K385" s="941">
        <v>0</v>
      </c>
      <c r="L385" s="941">
        <v>0</v>
      </c>
      <c r="M385" s="940"/>
    </row>
    <row r="386" spans="1:13" ht="22.5">
      <c r="A386" s="935"/>
      <c r="B386" s="935"/>
      <c r="C386" s="936" t="s">
        <v>598</v>
      </c>
      <c r="D386" s="946" t="s">
        <v>40</v>
      </c>
      <c r="E386" s="951">
        <v>202124</v>
      </c>
      <c r="F386" s="955">
        <f t="shared" si="65"/>
        <v>2604</v>
      </c>
      <c r="G386" s="949">
        <v>204728</v>
      </c>
      <c r="H386" s="958">
        <v>204728</v>
      </c>
      <c r="I386" s="941">
        <v>0</v>
      </c>
      <c r="J386" s="1250">
        <f t="shared" si="64"/>
        <v>1</v>
      </c>
      <c r="K386" s="941">
        <v>0</v>
      </c>
      <c r="L386" s="941">
        <v>0</v>
      </c>
      <c r="M386" s="940"/>
    </row>
    <row r="387" spans="1:13" ht="12.75">
      <c r="A387" s="965" t="s">
        <v>186</v>
      </c>
      <c r="B387" s="965"/>
      <c r="C387" s="965"/>
      <c r="D387" s="966" t="s">
        <v>247</v>
      </c>
      <c r="E387" s="967">
        <f>E388+E390+E394+E407</f>
        <v>358000</v>
      </c>
      <c r="F387" s="963">
        <f aca="true" t="shared" si="66" ref="F387:L387">F388+F390+F394+F407</f>
        <v>129749</v>
      </c>
      <c r="G387" s="968">
        <f t="shared" si="66"/>
        <v>487749</v>
      </c>
      <c r="H387" s="967">
        <f t="shared" si="66"/>
        <v>407568.41000000003</v>
      </c>
      <c r="I387" s="963">
        <f t="shared" si="66"/>
        <v>0</v>
      </c>
      <c r="J387" s="964">
        <f t="shared" si="64"/>
        <v>0.8356109597354378</v>
      </c>
      <c r="K387" s="963">
        <f t="shared" si="66"/>
        <v>8428.259999999998</v>
      </c>
      <c r="L387" s="1440">
        <f t="shared" si="66"/>
        <v>0</v>
      </c>
      <c r="M387" s="940"/>
    </row>
    <row r="388" spans="1:13" ht="15">
      <c r="A388" s="932"/>
      <c r="B388" s="938" t="s">
        <v>187</v>
      </c>
      <c r="C388" s="933"/>
      <c r="D388" s="945" t="s">
        <v>280</v>
      </c>
      <c r="E388" s="950">
        <f>E389</f>
        <v>0</v>
      </c>
      <c r="F388" s="954">
        <f aca="true" t="shared" si="67" ref="F388:L388">F389</f>
        <v>60000</v>
      </c>
      <c r="G388" s="947">
        <f t="shared" si="67"/>
        <v>60000</v>
      </c>
      <c r="H388" s="950">
        <f t="shared" si="67"/>
        <v>60000</v>
      </c>
      <c r="I388" s="954">
        <f t="shared" si="67"/>
        <v>0</v>
      </c>
      <c r="J388" s="959">
        <f t="shared" si="64"/>
        <v>1</v>
      </c>
      <c r="K388" s="954">
        <f t="shared" si="67"/>
        <v>0</v>
      </c>
      <c r="L388" s="1439">
        <f t="shared" si="67"/>
        <v>0</v>
      </c>
      <c r="M388" s="940"/>
    </row>
    <row r="389" spans="1:13" ht="56.25">
      <c r="A389" s="935"/>
      <c r="B389" s="935"/>
      <c r="C389" s="936" t="s">
        <v>188</v>
      </c>
      <c r="D389" s="946" t="s">
        <v>669</v>
      </c>
      <c r="E389" s="951">
        <v>0</v>
      </c>
      <c r="F389" s="955">
        <f>G389-E389</f>
        <v>60000</v>
      </c>
      <c r="G389" s="949">
        <v>60000</v>
      </c>
      <c r="H389" s="958">
        <v>60000</v>
      </c>
      <c r="I389" s="941">
        <v>0</v>
      </c>
      <c r="J389" s="1250">
        <f t="shared" si="64"/>
        <v>1</v>
      </c>
      <c r="K389" s="941">
        <v>0</v>
      </c>
      <c r="L389" s="941">
        <v>0</v>
      </c>
      <c r="M389" s="940"/>
    </row>
    <row r="390" spans="1:13" ht="15">
      <c r="A390" s="932"/>
      <c r="B390" s="938" t="s">
        <v>670</v>
      </c>
      <c r="C390" s="933"/>
      <c r="D390" s="945" t="s">
        <v>312</v>
      </c>
      <c r="E390" s="950">
        <f>E391+E392+E393</f>
        <v>5500</v>
      </c>
      <c r="F390" s="954">
        <f aca="true" t="shared" si="68" ref="F390:L390">F391+F392+F393</f>
        <v>0</v>
      </c>
      <c r="G390" s="947">
        <f t="shared" si="68"/>
        <v>5500</v>
      </c>
      <c r="H390" s="950">
        <f t="shared" si="68"/>
        <v>0</v>
      </c>
      <c r="I390" s="954">
        <f t="shared" si="68"/>
        <v>0</v>
      </c>
      <c r="J390" s="959">
        <f t="shared" si="64"/>
        <v>0</v>
      </c>
      <c r="K390" s="954">
        <f t="shared" si="68"/>
        <v>0</v>
      </c>
      <c r="L390" s="1439">
        <f t="shared" si="68"/>
        <v>0</v>
      </c>
      <c r="M390" s="940"/>
    </row>
    <row r="391" spans="1:13" ht="12.75">
      <c r="A391" s="935"/>
      <c r="B391" s="935"/>
      <c r="C391" s="936" t="s">
        <v>331</v>
      </c>
      <c r="D391" s="946" t="s">
        <v>28</v>
      </c>
      <c r="E391" s="951">
        <v>2240</v>
      </c>
      <c r="F391" s="955">
        <f>G391-E391</f>
        <v>0</v>
      </c>
      <c r="G391" s="949" t="s">
        <v>671</v>
      </c>
      <c r="H391" s="958">
        <v>0</v>
      </c>
      <c r="I391" s="941">
        <v>0</v>
      </c>
      <c r="J391" s="1250">
        <f t="shared" si="64"/>
        <v>0</v>
      </c>
      <c r="K391" s="941">
        <v>0</v>
      </c>
      <c r="L391" s="941">
        <v>0</v>
      </c>
      <c r="M391" s="940"/>
    </row>
    <row r="392" spans="1:13" ht="12.75">
      <c r="A392" s="935"/>
      <c r="B392" s="935"/>
      <c r="C392" s="936" t="s">
        <v>324</v>
      </c>
      <c r="D392" s="946" t="s">
        <v>15</v>
      </c>
      <c r="E392" s="951">
        <v>1000</v>
      </c>
      <c r="F392" s="955">
        <f>G392-E392</f>
        <v>0</v>
      </c>
      <c r="G392" s="949" t="s">
        <v>404</v>
      </c>
      <c r="H392" s="958">
        <v>0</v>
      </c>
      <c r="I392" s="941">
        <v>0</v>
      </c>
      <c r="J392" s="1250">
        <f t="shared" si="64"/>
        <v>0</v>
      </c>
      <c r="K392" s="941">
        <v>0</v>
      </c>
      <c r="L392" s="941">
        <v>0</v>
      </c>
      <c r="M392" s="940"/>
    </row>
    <row r="393" spans="1:13" ht="12.75">
      <c r="A393" s="935"/>
      <c r="B393" s="935"/>
      <c r="C393" s="936" t="s">
        <v>325</v>
      </c>
      <c r="D393" s="946" t="s">
        <v>16</v>
      </c>
      <c r="E393" s="951">
        <v>2260</v>
      </c>
      <c r="F393" s="955">
        <f>G393-E393</f>
        <v>0</v>
      </c>
      <c r="G393" s="949">
        <v>2260</v>
      </c>
      <c r="H393" s="958">
        <v>0</v>
      </c>
      <c r="I393" s="941">
        <v>0</v>
      </c>
      <c r="J393" s="1250">
        <f t="shared" si="64"/>
        <v>0</v>
      </c>
      <c r="K393" s="941">
        <v>0</v>
      </c>
      <c r="L393" s="941">
        <v>0</v>
      </c>
      <c r="M393" s="940"/>
    </row>
    <row r="394" spans="1:13" ht="15">
      <c r="A394" s="932"/>
      <c r="B394" s="938" t="s">
        <v>672</v>
      </c>
      <c r="C394" s="933"/>
      <c r="D394" s="945" t="s">
        <v>248</v>
      </c>
      <c r="E394" s="950">
        <f>E395+E396+E397+E398+E399+E400+E401+E402+E403+E404+E405+E406</f>
        <v>340500</v>
      </c>
      <c r="F394" s="954">
        <f aca="true" t="shared" si="69" ref="F394:L394">F395+F396+F397+F398+F399+F400+F401+F402+F403+F404+F405+F406</f>
        <v>69749</v>
      </c>
      <c r="G394" s="947">
        <f t="shared" si="69"/>
        <v>410249</v>
      </c>
      <c r="H394" s="950">
        <f t="shared" si="69"/>
        <v>337568.41000000003</v>
      </c>
      <c r="I394" s="954">
        <f t="shared" si="69"/>
        <v>0</v>
      </c>
      <c r="J394" s="959">
        <f t="shared" si="64"/>
        <v>0.8228378618838803</v>
      </c>
      <c r="K394" s="954">
        <f t="shared" si="69"/>
        <v>8428.259999999998</v>
      </c>
      <c r="L394" s="1439">
        <f t="shared" si="69"/>
        <v>0</v>
      </c>
      <c r="M394" s="940"/>
    </row>
    <row r="395" spans="1:13" ht="78.75">
      <c r="A395" s="935"/>
      <c r="B395" s="935"/>
      <c r="C395" s="936" t="s">
        <v>505</v>
      </c>
      <c r="D395" s="946" t="s">
        <v>617</v>
      </c>
      <c r="E395" s="951">
        <v>40000</v>
      </c>
      <c r="F395" s="955">
        <f>G395-E395</f>
        <v>-2000</v>
      </c>
      <c r="G395" s="949">
        <v>38000</v>
      </c>
      <c r="H395" s="958">
        <v>32100</v>
      </c>
      <c r="I395" s="941">
        <v>0</v>
      </c>
      <c r="J395" s="1250">
        <f t="shared" si="64"/>
        <v>0.8447368421052631</v>
      </c>
      <c r="K395" s="941">
        <v>0</v>
      </c>
      <c r="L395" s="941">
        <v>0</v>
      </c>
      <c r="M395" s="940"/>
    </row>
    <row r="396" spans="1:13" ht="56.25">
      <c r="A396" s="935"/>
      <c r="B396" s="935"/>
      <c r="C396" s="936" t="s">
        <v>367</v>
      </c>
      <c r="D396" s="946" t="s">
        <v>654</v>
      </c>
      <c r="E396" s="951">
        <v>25000</v>
      </c>
      <c r="F396" s="955">
        <f aca="true" t="shared" si="70" ref="F396:F406">G396-E396</f>
        <v>-1200</v>
      </c>
      <c r="G396" s="949">
        <v>23800</v>
      </c>
      <c r="H396" s="958">
        <v>23800</v>
      </c>
      <c r="I396" s="941">
        <v>0</v>
      </c>
      <c r="J396" s="1250">
        <f t="shared" si="64"/>
        <v>1</v>
      </c>
      <c r="K396" s="941">
        <v>0</v>
      </c>
      <c r="L396" s="941">
        <v>0</v>
      </c>
      <c r="M396" s="940"/>
    </row>
    <row r="397" spans="1:13" ht="12.75">
      <c r="A397" s="935"/>
      <c r="B397" s="935"/>
      <c r="C397" s="936" t="s">
        <v>333</v>
      </c>
      <c r="D397" s="946" t="s">
        <v>13</v>
      </c>
      <c r="E397" s="951">
        <v>3200</v>
      </c>
      <c r="F397" s="955">
        <f t="shared" si="70"/>
        <v>309</v>
      </c>
      <c r="G397" s="949">
        <v>3509</v>
      </c>
      <c r="H397" s="958">
        <v>955.39</v>
      </c>
      <c r="I397" s="941">
        <v>0</v>
      </c>
      <c r="J397" s="1250">
        <f t="shared" si="64"/>
        <v>0.2722684525505842</v>
      </c>
      <c r="K397" s="941">
        <v>855</v>
      </c>
      <c r="L397" s="941">
        <v>0</v>
      </c>
      <c r="M397" s="940"/>
    </row>
    <row r="398" spans="1:13" ht="33.75">
      <c r="A398" s="935"/>
      <c r="B398" s="935"/>
      <c r="C398" s="936" t="s">
        <v>334</v>
      </c>
      <c r="D398" s="1266" t="s">
        <v>875</v>
      </c>
      <c r="E398" s="951">
        <v>300</v>
      </c>
      <c r="F398" s="955">
        <f t="shared" si="70"/>
        <v>0</v>
      </c>
      <c r="G398" s="949">
        <v>300</v>
      </c>
      <c r="H398" s="958">
        <v>24.5</v>
      </c>
      <c r="I398" s="941">
        <v>0</v>
      </c>
      <c r="J398" s="1250">
        <f t="shared" si="64"/>
        <v>0.08166666666666667</v>
      </c>
      <c r="K398" s="941">
        <v>74.73</v>
      </c>
      <c r="L398" s="941">
        <v>0</v>
      </c>
      <c r="M398" s="940"/>
    </row>
    <row r="399" spans="1:13" ht="12.75">
      <c r="A399" s="935"/>
      <c r="B399" s="935"/>
      <c r="C399" s="936" t="s">
        <v>331</v>
      </c>
      <c r="D399" s="946" t="s">
        <v>28</v>
      </c>
      <c r="E399" s="951">
        <v>134620</v>
      </c>
      <c r="F399" s="955">
        <f t="shared" si="70"/>
        <v>-2109</v>
      </c>
      <c r="G399" s="949">
        <v>132511</v>
      </c>
      <c r="H399" s="958">
        <v>106880.24</v>
      </c>
      <c r="I399" s="941">
        <v>0</v>
      </c>
      <c r="J399" s="1250">
        <f t="shared" si="64"/>
        <v>0.8065763596984402</v>
      </c>
      <c r="K399" s="941">
        <v>3327.37</v>
      </c>
      <c r="L399" s="941">
        <v>0</v>
      </c>
      <c r="M399" s="940"/>
    </row>
    <row r="400" spans="1:13" ht="12.75">
      <c r="A400" s="935"/>
      <c r="B400" s="935"/>
      <c r="C400" s="936" t="s">
        <v>324</v>
      </c>
      <c r="D400" s="946" t="s">
        <v>15</v>
      </c>
      <c r="E400" s="951">
        <v>26450</v>
      </c>
      <c r="F400" s="955">
        <f t="shared" si="70"/>
        <v>26500</v>
      </c>
      <c r="G400" s="949">
        <v>52950</v>
      </c>
      <c r="H400" s="958">
        <v>30822.17</v>
      </c>
      <c r="I400" s="941">
        <v>0</v>
      </c>
      <c r="J400" s="1250">
        <f t="shared" si="64"/>
        <v>0.5820995278564683</v>
      </c>
      <c r="K400" s="941">
        <v>0</v>
      </c>
      <c r="L400" s="941">
        <v>0</v>
      </c>
      <c r="M400" s="940"/>
    </row>
    <row r="401" spans="1:13" ht="12.75">
      <c r="A401" s="935"/>
      <c r="B401" s="935"/>
      <c r="C401" s="936" t="s">
        <v>546</v>
      </c>
      <c r="D401" s="946" t="s">
        <v>37</v>
      </c>
      <c r="E401" s="951">
        <v>6000</v>
      </c>
      <c r="F401" s="955">
        <f t="shared" si="70"/>
        <v>6000</v>
      </c>
      <c r="G401" s="949">
        <v>12000</v>
      </c>
      <c r="H401" s="958">
        <v>8355.23</v>
      </c>
      <c r="I401" s="941">
        <v>0</v>
      </c>
      <c r="J401" s="1250">
        <f t="shared" si="64"/>
        <v>0.6962691666666666</v>
      </c>
      <c r="K401" s="941">
        <v>1024.81</v>
      </c>
      <c r="L401" s="941">
        <v>0</v>
      </c>
      <c r="M401" s="940"/>
    </row>
    <row r="402" spans="1:13" ht="12.75">
      <c r="A402" s="935"/>
      <c r="B402" s="935"/>
      <c r="C402" s="936" t="s">
        <v>552</v>
      </c>
      <c r="D402" s="946" t="s">
        <v>74</v>
      </c>
      <c r="E402" s="951">
        <v>2000</v>
      </c>
      <c r="F402" s="955">
        <f t="shared" si="70"/>
        <v>0</v>
      </c>
      <c r="G402" s="949">
        <v>2000</v>
      </c>
      <c r="H402" s="958">
        <v>0</v>
      </c>
      <c r="I402" s="941">
        <v>0</v>
      </c>
      <c r="J402" s="1250">
        <f t="shared" si="64"/>
        <v>0</v>
      </c>
      <c r="K402" s="941">
        <v>0</v>
      </c>
      <c r="L402" s="941">
        <v>0</v>
      </c>
      <c r="M402" s="940"/>
    </row>
    <row r="403" spans="1:13" ht="12.75">
      <c r="A403" s="935"/>
      <c r="B403" s="935"/>
      <c r="C403" s="936" t="s">
        <v>325</v>
      </c>
      <c r="D403" s="946" t="s">
        <v>16</v>
      </c>
      <c r="E403" s="951">
        <v>99148</v>
      </c>
      <c r="F403" s="955">
        <f t="shared" si="70"/>
        <v>38900</v>
      </c>
      <c r="G403" s="949">
        <v>138048</v>
      </c>
      <c r="H403" s="958">
        <v>130193.26</v>
      </c>
      <c r="I403" s="941">
        <v>0</v>
      </c>
      <c r="J403" s="1250">
        <f t="shared" si="64"/>
        <v>0.9431013850254983</v>
      </c>
      <c r="K403" s="941">
        <v>3144.8</v>
      </c>
      <c r="L403" s="941">
        <v>0</v>
      </c>
      <c r="M403" s="940"/>
    </row>
    <row r="404" spans="1:13" ht="22.5">
      <c r="A404" s="935"/>
      <c r="B404" s="935"/>
      <c r="C404" s="936" t="s">
        <v>335</v>
      </c>
      <c r="D404" s="946" t="s">
        <v>553</v>
      </c>
      <c r="E404" s="951">
        <v>2000</v>
      </c>
      <c r="F404" s="955">
        <f t="shared" si="70"/>
        <v>0</v>
      </c>
      <c r="G404" s="949" t="s">
        <v>394</v>
      </c>
      <c r="H404" s="958">
        <v>1973.27</v>
      </c>
      <c r="I404" s="941">
        <v>0</v>
      </c>
      <c r="J404" s="1250">
        <f t="shared" si="64"/>
        <v>0.986635</v>
      </c>
      <c r="K404" s="941">
        <v>1.55</v>
      </c>
      <c r="L404" s="941">
        <v>0</v>
      </c>
      <c r="M404" s="940"/>
    </row>
    <row r="405" spans="1:13" ht="12.75">
      <c r="A405" s="935"/>
      <c r="B405" s="935"/>
      <c r="C405" s="936" t="s">
        <v>597</v>
      </c>
      <c r="D405" s="946" t="s">
        <v>22</v>
      </c>
      <c r="E405" s="951">
        <v>380</v>
      </c>
      <c r="F405" s="955">
        <f t="shared" si="70"/>
        <v>349</v>
      </c>
      <c r="G405" s="949">
        <v>729</v>
      </c>
      <c r="H405" s="958">
        <v>323.2</v>
      </c>
      <c r="I405" s="941">
        <v>0</v>
      </c>
      <c r="J405" s="1250">
        <f t="shared" si="64"/>
        <v>0.4433470507544581</v>
      </c>
      <c r="K405" s="941">
        <v>0</v>
      </c>
      <c r="L405" s="941">
        <v>0</v>
      </c>
      <c r="M405" s="940"/>
    </row>
    <row r="406" spans="1:13" ht="12.75">
      <c r="A406" s="935"/>
      <c r="B406" s="935"/>
      <c r="C406" s="936" t="s">
        <v>544</v>
      </c>
      <c r="D406" s="946" t="s">
        <v>17</v>
      </c>
      <c r="E406" s="951">
        <v>1402</v>
      </c>
      <c r="F406" s="955">
        <f t="shared" si="70"/>
        <v>3000</v>
      </c>
      <c r="G406" s="949">
        <v>4402</v>
      </c>
      <c r="H406" s="958">
        <v>2141.15</v>
      </c>
      <c r="I406" s="941">
        <v>0</v>
      </c>
      <c r="J406" s="1250">
        <f t="shared" si="64"/>
        <v>0.4864039073148569</v>
      </c>
      <c r="K406" s="941">
        <v>0</v>
      </c>
      <c r="L406" s="941">
        <v>0</v>
      </c>
      <c r="M406" s="940"/>
    </row>
    <row r="407" spans="1:13" ht="15">
      <c r="A407" s="932"/>
      <c r="B407" s="938" t="s">
        <v>192</v>
      </c>
      <c r="C407" s="933"/>
      <c r="D407" s="945" t="s">
        <v>10</v>
      </c>
      <c r="E407" s="950">
        <f>E408+E409+E410+E411</f>
        <v>12000</v>
      </c>
      <c r="F407" s="954">
        <f aca="true" t="shared" si="71" ref="F407:K407">F408+F409+F410+F411</f>
        <v>0</v>
      </c>
      <c r="G407" s="947">
        <f t="shared" si="71"/>
        <v>12000</v>
      </c>
      <c r="H407" s="950">
        <f t="shared" si="71"/>
        <v>10000</v>
      </c>
      <c r="I407" s="954">
        <f t="shared" si="71"/>
        <v>0</v>
      </c>
      <c r="J407" s="959">
        <f t="shared" si="64"/>
        <v>0.8333333333333334</v>
      </c>
      <c r="K407" s="954">
        <f t="shared" si="71"/>
        <v>0</v>
      </c>
      <c r="L407" s="1439">
        <f>L408+L409+L410+L411</f>
        <v>0</v>
      </c>
      <c r="M407" s="940"/>
    </row>
    <row r="408" spans="1:13" ht="78.75">
      <c r="A408" s="935"/>
      <c r="B408" s="935"/>
      <c r="C408" s="936" t="s">
        <v>505</v>
      </c>
      <c r="D408" s="946" t="s">
        <v>617</v>
      </c>
      <c r="E408" s="951">
        <v>10000</v>
      </c>
      <c r="F408" s="955">
        <f>G408-E408</f>
        <v>0</v>
      </c>
      <c r="G408" s="949" t="s">
        <v>380</v>
      </c>
      <c r="H408" s="958">
        <v>10000</v>
      </c>
      <c r="I408" s="941">
        <v>0</v>
      </c>
      <c r="J408" s="1250">
        <f t="shared" si="64"/>
        <v>1</v>
      </c>
      <c r="K408" s="941">
        <v>0</v>
      </c>
      <c r="L408" s="941">
        <v>0</v>
      </c>
      <c r="M408" s="940"/>
    </row>
    <row r="409" spans="1:13" ht="12.75">
      <c r="A409" s="935"/>
      <c r="B409" s="935"/>
      <c r="C409" s="936" t="s">
        <v>324</v>
      </c>
      <c r="D409" s="946" t="s">
        <v>15</v>
      </c>
      <c r="E409" s="951">
        <v>1050</v>
      </c>
      <c r="F409" s="955">
        <f>G409-E409</f>
        <v>0</v>
      </c>
      <c r="G409" s="949" t="s">
        <v>673</v>
      </c>
      <c r="H409" s="958">
        <v>0</v>
      </c>
      <c r="I409" s="941">
        <v>0</v>
      </c>
      <c r="J409" s="1250">
        <f t="shared" si="64"/>
        <v>0</v>
      </c>
      <c r="K409" s="941">
        <v>0</v>
      </c>
      <c r="L409" s="941">
        <v>0</v>
      </c>
      <c r="M409" s="940"/>
    </row>
    <row r="410" spans="1:13" ht="12.75">
      <c r="A410" s="935"/>
      <c r="B410" s="935"/>
      <c r="C410" s="936" t="s">
        <v>325</v>
      </c>
      <c r="D410" s="946" t="s">
        <v>16</v>
      </c>
      <c r="E410" s="951">
        <v>950</v>
      </c>
      <c r="F410" s="955">
        <f>G410-E410</f>
        <v>0</v>
      </c>
      <c r="G410" s="949" t="s">
        <v>674</v>
      </c>
      <c r="H410" s="958">
        <v>0</v>
      </c>
      <c r="I410" s="941">
        <v>0</v>
      </c>
      <c r="J410" s="1250">
        <f t="shared" si="64"/>
        <v>0</v>
      </c>
      <c r="K410" s="941">
        <v>0</v>
      </c>
      <c r="L410" s="941">
        <v>0</v>
      </c>
      <c r="M410" s="940"/>
    </row>
    <row r="411" spans="1:13" ht="22.5" hidden="1">
      <c r="A411" s="935"/>
      <c r="B411" s="935"/>
      <c r="C411" s="936" t="s">
        <v>145</v>
      </c>
      <c r="D411" s="946" t="s">
        <v>71</v>
      </c>
      <c r="E411" s="951">
        <v>0</v>
      </c>
      <c r="F411" s="955">
        <f>G411-E411</f>
        <v>0</v>
      </c>
      <c r="G411" s="949">
        <v>0</v>
      </c>
      <c r="H411" s="958">
        <v>0</v>
      </c>
      <c r="I411" s="941">
        <v>0</v>
      </c>
      <c r="J411" s="1250">
        <v>0</v>
      </c>
      <c r="K411" s="941">
        <v>0</v>
      </c>
      <c r="L411" s="941">
        <v>0</v>
      </c>
      <c r="M411" s="940"/>
    </row>
    <row r="412" spans="1:13" ht="12.75">
      <c r="A412" s="965" t="s">
        <v>195</v>
      </c>
      <c r="B412" s="965"/>
      <c r="C412" s="965"/>
      <c r="D412" s="966" t="s">
        <v>33</v>
      </c>
      <c r="E412" s="967">
        <f>E413+E415+E432+E435+E438+E440+E443+E446+E465+E470+E472+E474</f>
        <v>4742296.7</v>
      </c>
      <c r="F412" s="963">
        <f aca="true" t="shared" si="72" ref="F412:L412">F413+F415+F432+F435+F438+F440+F443+F446+F465+F470+F472+F474</f>
        <v>955882.93</v>
      </c>
      <c r="G412" s="968">
        <f t="shared" si="72"/>
        <v>5698179.629999999</v>
      </c>
      <c r="H412" s="967">
        <f t="shared" si="72"/>
        <v>5562048.100000001</v>
      </c>
      <c r="I412" s="963">
        <f t="shared" si="72"/>
        <v>0</v>
      </c>
      <c r="J412" s="964">
        <f t="shared" si="64"/>
        <v>0.9761096457396169</v>
      </c>
      <c r="K412" s="963">
        <f t="shared" si="72"/>
        <v>239166.47</v>
      </c>
      <c r="L412" s="1440">
        <f t="shared" si="72"/>
        <v>0</v>
      </c>
      <c r="M412" s="940"/>
    </row>
    <row r="413" spans="1:13" ht="15">
      <c r="A413" s="932"/>
      <c r="B413" s="938" t="s">
        <v>676</v>
      </c>
      <c r="C413" s="933"/>
      <c r="D413" s="945" t="s">
        <v>677</v>
      </c>
      <c r="E413" s="950">
        <f>E414</f>
        <v>620200</v>
      </c>
      <c r="F413" s="954">
        <f aca="true" t="shared" si="73" ref="F413:L413">F414</f>
        <v>27600</v>
      </c>
      <c r="G413" s="947">
        <f t="shared" si="73"/>
        <v>647800</v>
      </c>
      <c r="H413" s="950">
        <f t="shared" si="73"/>
        <v>645974.57</v>
      </c>
      <c r="I413" s="954">
        <f t="shared" si="73"/>
        <v>0</v>
      </c>
      <c r="J413" s="959">
        <f t="shared" si="64"/>
        <v>0.997182108675517</v>
      </c>
      <c r="K413" s="954">
        <f t="shared" si="73"/>
        <v>2671.23</v>
      </c>
      <c r="L413" s="1439">
        <f t="shared" si="73"/>
        <v>0</v>
      </c>
      <c r="M413" s="940"/>
    </row>
    <row r="414" spans="1:13" ht="33.75">
      <c r="A414" s="935"/>
      <c r="B414" s="935"/>
      <c r="C414" s="936" t="s">
        <v>632</v>
      </c>
      <c r="D414" s="946" t="s">
        <v>633</v>
      </c>
      <c r="E414" s="951">
        <v>620200</v>
      </c>
      <c r="F414" s="955">
        <f>G414-E414</f>
        <v>27600</v>
      </c>
      <c r="G414" s="949">
        <v>647800</v>
      </c>
      <c r="H414" s="958">
        <v>645974.57</v>
      </c>
      <c r="I414" s="941">
        <v>0</v>
      </c>
      <c r="J414" s="1250">
        <f t="shared" si="64"/>
        <v>0.997182108675517</v>
      </c>
      <c r="K414" s="941">
        <v>2671.23</v>
      </c>
      <c r="L414" s="941">
        <v>0</v>
      </c>
      <c r="M414" s="940"/>
    </row>
    <row r="415" spans="1:13" ht="15">
      <c r="A415" s="932"/>
      <c r="B415" s="938" t="s">
        <v>196</v>
      </c>
      <c r="C415" s="933"/>
      <c r="D415" s="945" t="s">
        <v>34</v>
      </c>
      <c r="E415" s="950">
        <f>E417+E419+E420+E421+E422+E423+E424+E425+E426+E427+E429+E431+E418+E428+E430+E416</f>
        <v>630900</v>
      </c>
      <c r="F415" s="950">
        <f>F417+F419+F420+F421+F422+F423+F424+F425+F426+F427+F429+F431+F418+F428+F430+F416</f>
        <v>120590.63</v>
      </c>
      <c r="G415" s="950">
        <f>G417+G419+G420+G421+G422+G423+G424+G425+G426+G427+G429+G431+G418+G428+G430+G416</f>
        <v>751490.63</v>
      </c>
      <c r="H415" s="950">
        <f>H417+H419+H420+H421+H422+H423+H424+H425+H426+H427+H429+H431+H418+H428+H430+H416</f>
        <v>730614.15</v>
      </c>
      <c r="I415" s="1567">
        <f>I417+I419+I420+I421+I422+I423+I424+I425+I426+I427+I429+I431+I418+I428+I430</f>
        <v>0</v>
      </c>
      <c r="J415" s="959">
        <f aca="true" t="shared" si="74" ref="J415:J482">H415/G415</f>
        <v>0.9722199064544558</v>
      </c>
      <c r="K415" s="954">
        <f>K417+K419+K420+K421+K422+K423+K424+K425+K426+K427+K429+K431+K418+K428+K430</f>
        <v>42285.490000000005</v>
      </c>
      <c r="L415" s="954">
        <f>L417+L419+L420+L421+L422+L423+L424+L425+L426+L427+L429+L431+L418+L428+L430</f>
        <v>0</v>
      </c>
      <c r="M415" s="940"/>
    </row>
    <row r="416" spans="1:13" ht="15">
      <c r="A416" s="932"/>
      <c r="B416" s="986"/>
      <c r="C416" s="1495" t="s">
        <v>576</v>
      </c>
      <c r="D416" s="1564"/>
      <c r="E416" s="1565">
        <v>2000</v>
      </c>
      <c r="F416" s="1368">
        <f>G416-E416</f>
        <v>-2000</v>
      </c>
      <c r="G416" s="1368">
        <v>0</v>
      </c>
      <c r="H416" s="1566"/>
      <c r="I416" s="1368"/>
      <c r="J416" s="1250"/>
      <c r="K416" s="1368"/>
      <c r="L416" s="1368"/>
      <c r="M416" s="940"/>
    </row>
    <row r="417" spans="1:13" ht="22.5">
      <c r="A417" s="935"/>
      <c r="B417" s="935"/>
      <c r="C417" s="936" t="s">
        <v>543</v>
      </c>
      <c r="D417" s="946" t="s">
        <v>12</v>
      </c>
      <c r="E417" s="951">
        <v>184296.8</v>
      </c>
      <c r="F417" s="955">
        <f>G417-E417</f>
        <v>69787.20000000001</v>
      </c>
      <c r="G417" s="1568">
        <v>254084</v>
      </c>
      <c r="H417" s="958">
        <v>243782.13</v>
      </c>
      <c r="I417" s="941">
        <v>0</v>
      </c>
      <c r="J417" s="1250">
        <f t="shared" si="74"/>
        <v>0.9594548653201304</v>
      </c>
      <c r="K417" s="941">
        <v>10300.17</v>
      </c>
      <c r="L417" s="941">
        <v>0</v>
      </c>
      <c r="M417" s="940"/>
    </row>
    <row r="418" spans="1:13" ht="12.75">
      <c r="A418" s="935"/>
      <c r="B418" s="935"/>
      <c r="C418" s="984" t="s">
        <v>578</v>
      </c>
      <c r="D418" s="946"/>
      <c r="E418" s="951">
        <v>850</v>
      </c>
      <c r="F418" s="955">
        <f>G418-E418</f>
        <v>-850</v>
      </c>
      <c r="G418" s="949">
        <v>0</v>
      </c>
      <c r="H418" s="958">
        <v>0</v>
      </c>
      <c r="I418" s="941">
        <v>0</v>
      </c>
      <c r="J418" s="1250">
        <v>0</v>
      </c>
      <c r="K418" s="941">
        <v>17462.73</v>
      </c>
      <c r="L418" s="941"/>
      <c r="M418" s="940"/>
    </row>
    <row r="419" spans="1:13" ht="12.75">
      <c r="A419" s="935"/>
      <c r="B419" s="935"/>
      <c r="C419" s="936" t="s">
        <v>333</v>
      </c>
      <c r="D419" s="946" t="s">
        <v>13</v>
      </c>
      <c r="E419" s="951">
        <v>31660.1</v>
      </c>
      <c r="F419" s="955">
        <f aca="true" t="shared" si="75" ref="F419:F431">G419-E419</f>
        <v>12209.900000000001</v>
      </c>
      <c r="G419" s="949">
        <v>43870</v>
      </c>
      <c r="H419" s="958">
        <v>41168.22</v>
      </c>
      <c r="I419" s="941">
        <v>0</v>
      </c>
      <c r="J419" s="1250">
        <v>0</v>
      </c>
      <c r="K419" s="941">
        <v>5749.84</v>
      </c>
      <c r="L419" s="941">
        <v>0</v>
      </c>
      <c r="M419" s="940"/>
    </row>
    <row r="420" spans="1:13" ht="33.75">
      <c r="A420" s="935"/>
      <c r="B420" s="935"/>
      <c r="C420" s="936" t="s">
        <v>334</v>
      </c>
      <c r="D420" s="1266" t="s">
        <v>875</v>
      </c>
      <c r="E420" s="951">
        <v>4536.1</v>
      </c>
      <c r="F420" s="955">
        <f t="shared" si="75"/>
        <v>-714.1000000000004</v>
      </c>
      <c r="G420" s="949">
        <v>3822</v>
      </c>
      <c r="H420" s="958">
        <v>3299.55</v>
      </c>
      <c r="I420" s="941">
        <v>0</v>
      </c>
      <c r="J420" s="1250">
        <f t="shared" si="74"/>
        <v>0.863304552590267</v>
      </c>
      <c r="K420" s="941">
        <v>813.36</v>
      </c>
      <c r="L420" s="941">
        <v>0</v>
      </c>
      <c r="M420" s="940"/>
    </row>
    <row r="421" spans="1:13" ht="12.75">
      <c r="A421" s="935"/>
      <c r="B421" s="935"/>
      <c r="C421" s="936" t="s">
        <v>331</v>
      </c>
      <c r="D421" s="946" t="s">
        <v>28</v>
      </c>
      <c r="E421" s="951">
        <v>0</v>
      </c>
      <c r="F421" s="955">
        <f t="shared" si="75"/>
        <v>4329</v>
      </c>
      <c r="G421" s="949">
        <v>4329</v>
      </c>
      <c r="H421" s="958">
        <v>4328.86</v>
      </c>
      <c r="I421" s="941">
        <v>0</v>
      </c>
      <c r="J421" s="1250">
        <f t="shared" si="74"/>
        <v>0.9999676599676599</v>
      </c>
      <c r="K421" s="941">
        <v>131.65</v>
      </c>
      <c r="L421" s="941">
        <v>0</v>
      </c>
      <c r="M421" s="940"/>
    </row>
    <row r="422" spans="1:13" ht="12.75">
      <c r="A422" s="935"/>
      <c r="B422" s="935"/>
      <c r="C422" s="936" t="s">
        <v>324</v>
      </c>
      <c r="D422" s="946" t="s">
        <v>15</v>
      </c>
      <c r="E422" s="951">
        <v>48814</v>
      </c>
      <c r="F422" s="955">
        <f t="shared" si="75"/>
        <v>5507</v>
      </c>
      <c r="G422" s="949">
        <v>54321</v>
      </c>
      <c r="H422" s="958">
        <v>52377.92</v>
      </c>
      <c r="I422" s="941">
        <v>0</v>
      </c>
      <c r="J422" s="1250">
        <f t="shared" si="74"/>
        <v>0.9642296717659836</v>
      </c>
      <c r="K422" s="941">
        <v>33.49</v>
      </c>
      <c r="L422" s="941">
        <v>0</v>
      </c>
      <c r="M422" s="940"/>
    </row>
    <row r="423" spans="1:13" ht="12.75">
      <c r="A423" s="935"/>
      <c r="B423" s="935"/>
      <c r="C423" s="936" t="s">
        <v>638</v>
      </c>
      <c r="D423" s="946" t="s">
        <v>36</v>
      </c>
      <c r="E423" s="951">
        <v>0</v>
      </c>
      <c r="F423" s="955">
        <f t="shared" si="75"/>
        <v>0</v>
      </c>
      <c r="G423" s="949">
        <v>0</v>
      </c>
      <c r="H423" s="958">
        <v>0</v>
      </c>
      <c r="I423" s="941">
        <v>0</v>
      </c>
      <c r="J423" s="1250">
        <v>0</v>
      </c>
      <c r="K423" s="941">
        <v>0</v>
      </c>
      <c r="L423" s="941">
        <v>0</v>
      </c>
      <c r="M423" s="940"/>
    </row>
    <row r="424" spans="1:13" ht="12.75">
      <c r="A424" s="935"/>
      <c r="B424" s="935"/>
      <c r="C424" s="936" t="s">
        <v>546</v>
      </c>
      <c r="D424" s="946" t="s">
        <v>37</v>
      </c>
      <c r="E424" s="951">
        <v>50000</v>
      </c>
      <c r="F424" s="955">
        <f t="shared" si="75"/>
        <v>-44367</v>
      </c>
      <c r="G424" s="949">
        <v>5633</v>
      </c>
      <c r="H424" s="958">
        <v>5632.24</v>
      </c>
      <c r="I424" s="941">
        <v>0</v>
      </c>
      <c r="J424" s="1250">
        <f t="shared" si="74"/>
        <v>0.9998650807740103</v>
      </c>
      <c r="K424" s="941">
        <v>2724.5</v>
      </c>
      <c r="L424" s="941">
        <v>0</v>
      </c>
      <c r="M424" s="940"/>
    </row>
    <row r="425" spans="1:13" ht="12.75">
      <c r="A425" s="935"/>
      <c r="B425" s="935"/>
      <c r="C425" s="936" t="s">
        <v>592</v>
      </c>
      <c r="D425" s="946" t="s">
        <v>38</v>
      </c>
      <c r="E425" s="951">
        <v>0</v>
      </c>
      <c r="F425" s="955">
        <f t="shared" si="75"/>
        <v>195</v>
      </c>
      <c r="G425" s="949">
        <v>195</v>
      </c>
      <c r="H425" s="958">
        <v>195</v>
      </c>
      <c r="I425" s="941">
        <v>0</v>
      </c>
      <c r="J425" s="1250">
        <f t="shared" si="74"/>
        <v>1</v>
      </c>
      <c r="K425" s="941">
        <v>0</v>
      </c>
      <c r="L425" s="941">
        <v>0</v>
      </c>
      <c r="M425" s="940"/>
    </row>
    <row r="426" spans="1:13" ht="12.75">
      <c r="A426" s="935"/>
      <c r="B426" s="935"/>
      <c r="C426" s="936" t="s">
        <v>325</v>
      </c>
      <c r="D426" s="946" t="s">
        <v>16</v>
      </c>
      <c r="E426" s="951">
        <v>300000</v>
      </c>
      <c r="F426" s="955">
        <f t="shared" si="75"/>
        <v>-89552.37</v>
      </c>
      <c r="G426" s="949">
        <v>210447.63</v>
      </c>
      <c r="H426" s="958">
        <v>205044.1</v>
      </c>
      <c r="I426" s="941">
        <v>0</v>
      </c>
      <c r="J426" s="1250">
        <f t="shared" si="74"/>
        <v>0.9743236357662949</v>
      </c>
      <c r="K426" s="941">
        <v>5069.75</v>
      </c>
      <c r="L426" s="941">
        <v>0</v>
      </c>
      <c r="M426" s="940"/>
    </row>
    <row r="427" spans="1:13" ht="22.5">
      <c r="A427" s="935"/>
      <c r="B427" s="935"/>
      <c r="C427" s="936" t="s">
        <v>335</v>
      </c>
      <c r="D427" s="946" t="s">
        <v>553</v>
      </c>
      <c r="E427" s="951">
        <v>2000</v>
      </c>
      <c r="F427" s="955">
        <f t="shared" si="75"/>
        <v>-50</v>
      </c>
      <c r="G427" s="949">
        <v>1950</v>
      </c>
      <c r="H427" s="958">
        <v>1948.42</v>
      </c>
      <c r="I427" s="941">
        <v>0</v>
      </c>
      <c r="J427" s="1250">
        <f t="shared" si="74"/>
        <v>0.9991897435897437</v>
      </c>
      <c r="K427" s="941">
        <v>0</v>
      </c>
      <c r="L427" s="941">
        <v>0</v>
      </c>
      <c r="M427" s="940"/>
    </row>
    <row r="428" spans="1:13" ht="12.75">
      <c r="A428" s="935"/>
      <c r="B428" s="935"/>
      <c r="C428" s="984" t="s">
        <v>597</v>
      </c>
      <c r="D428" s="946"/>
      <c r="E428" s="951">
        <v>2000</v>
      </c>
      <c r="F428" s="955">
        <f t="shared" si="75"/>
        <v>-1640</v>
      </c>
      <c r="G428" s="949">
        <v>360</v>
      </c>
      <c r="H428" s="958">
        <v>359.67</v>
      </c>
      <c r="I428" s="941">
        <v>0</v>
      </c>
      <c r="J428" s="1250">
        <f t="shared" si="74"/>
        <v>0.9990833333333333</v>
      </c>
      <c r="K428" s="941">
        <v>0</v>
      </c>
      <c r="L428" s="941">
        <v>0</v>
      </c>
      <c r="M428" s="940"/>
    </row>
    <row r="429" spans="1:13" ht="22.5">
      <c r="A429" s="935"/>
      <c r="B429" s="935"/>
      <c r="C429" s="936" t="s">
        <v>598</v>
      </c>
      <c r="D429" s="946" t="s">
        <v>40</v>
      </c>
      <c r="E429" s="951">
        <v>4743</v>
      </c>
      <c r="F429" s="955">
        <f t="shared" si="75"/>
        <v>1186</v>
      </c>
      <c r="G429" s="949">
        <v>5929</v>
      </c>
      <c r="H429" s="958">
        <v>5929</v>
      </c>
      <c r="I429" s="941">
        <v>0</v>
      </c>
      <c r="J429" s="1250">
        <f t="shared" si="74"/>
        <v>1</v>
      </c>
      <c r="K429" s="941">
        <v>0</v>
      </c>
      <c r="L429" s="941">
        <v>0</v>
      </c>
      <c r="M429" s="940"/>
    </row>
    <row r="430" spans="1:13" ht="12.75">
      <c r="A430" s="935"/>
      <c r="B430" s="935"/>
      <c r="C430" s="984" t="s">
        <v>877</v>
      </c>
      <c r="D430" s="946"/>
      <c r="E430" s="951">
        <v>0</v>
      </c>
      <c r="F430" s="955">
        <f t="shared" si="75"/>
        <v>1550</v>
      </c>
      <c r="G430" s="949">
        <v>1550</v>
      </c>
      <c r="H430" s="958">
        <v>1549.05</v>
      </c>
      <c r="I430" s="941"/>
      <c r="J430" s="1250">
        <f t="shared" si="74"/>
        <v>0.9993870967741936</v>
      </c>
      <c r="K430" s="941"/>
      <c r="L430" s="941"/>
      <c r="M430" s="940"/>
    </row>
    <row r="431" spans="1:13" ht="22.5">
      <c r="A431" s="935"/>
      <c r="B431" s="935"/>
      <c r="C431" s="936" t="s">
        <v>127</v>
      </c>
      <c r="D431" s="946" t="s">
        <v>41</v>
      </c>
      <c r="E431" s="951">
        <v>0</v>
      </c>
      <c r="F431" s="955">
        <f t="shared" si="75"/>
        <v>165000</v>
      </c>
      <c r="G431" s="949">
        <v>165000</v>
      </c>
      <c r="H431" s="958">
        <v>164999.99</v>
      </c>
      <c r="I431" s="941">
        <v>0</v>
      </c>
      <c r="J431" s="1250">
        <f t="shared" si="74"/>
        <v>0.9999999393939394</v>
      </c>
      <c r="K431" s="941">
        <v>0</v>
      </c>
      <c r="L431" s="941">
        <v>0</v>
      </c>
      <c r="M431" s="940"/>
    </row>
    <row r="432" spans="1:13" ht="22.5">
      <c r="A432" s="932"/>
      <c r="B432" s="938" t="s">
        <v>678</v>
      </c>
      <c r="C432" s="933"/>
      <c r="D432" s="945" t="s">
        <v>679</v>
      </c>
      <c r="E432" s="950">
        <f>E433+E434</f>
        <v>5000</v>
      </c>
      <c r="F432" s="954">
        <f aca="true" t="shared" si="76" ref="F432:L432">F433+F434</f>
        <v>-3040.61</v>
      </c>
      <c r="G432" s="947">
        <f t="shared" si="76"/>
        <v>1959.3899999999999</v>
      </c>
      <c r="H432" s="950">
        <f t="shared" si="76"/>
        <v>1959.3899999999999</v>
      </c>
      <c r="I432" s="954">
        <f t="shared" si="76"/>
        <v>0</v>
      </c>
      <c r="J432" s="959">
        <f t="shared" si="74"/>
        <v>1</v>
      </c>
      <c r="K432" s="954">
        <f t="shared" si="76"/>
        <v>0</v>
      </c>
      <c r="L432" s="1439">
        <f t="shared" si="76"/>
        <v>0</v>
      </c>
      <c r="M432" s="940"/>
    </row>
    <row r="433" spans="1:13" ht="12.75">
      <c r="A433" s="935"/>
      <c r="B433" s="935"/>
      <c r="C433" s="936" t="s">
        <v>324</v>
      </c>
      <c r="D433" s="946" t="s">
        <v>15</v>
      </c>
      <c r="E433" s="951">
        <v>1000</v>
      </c>
      <c r="F433" s="955">
        <f>G433-E433</f>
        <v>-540.61</v>
      </c>
      <c r="G433" s="949">
        <v>459.39</v>
      </c>
      <c r="H433" s="958">
        <v>459.39</v>
      </c>
      <c r="I433" s="941">
        <v>0</v>
      </c>
      <c r="J433" s="1250">
        <f t="shared" si="74"/>
        <v>1</v>
      </c>
      <c r="K433" s="941">
        <v>0</v>
      </c>
      <c r="L433" s="941">
        <v>0</v>
      </c>
      <c r="M433" s="940"/>
    </row>
    <row r="434" spans="1:13" ht="12.75">
      <c r="A434" s="935"/>
      <c r="B434" s="935"/>
      <c r="C434" s="936" t="s">
        <v>325</v>
      </c>
      <c r="D434" s="946" t="s">
        <v>16</v>
      </c>
      <c r="E434" s="951">
        <v>4000</v>
      </c>
      <c r="F434" s="955">
        <f>G434-E434</f>
        <v>-2500</v>
      </c>
      <c r="G434" s="949">
        <v>1500</v>
      </c>
      <c r="H434" s="958">
        <v>1500</v>
      </c>
      <c r="I434" s="941">
        <v>0</v>
      </c>
      <c r="J434" s="1250">
        <f t="shared" si="74"/>
        <v>1</v>
      </c>
      <c r="K434" s="941">
        <v>0</v>
      </c>
      <c r="L434" s="941">
        <v>0</v>
      </c>
      <c r="M434" s="940"/>
    </row>
    <row r="435" spans="1:13" ht="67.5">
      <c r="A435" s="932"/>
      <c r="B435" s="938" t="s">
        <v>495</v>
      </c>
      <c r="C435" s="933"/>
      <c r="D435" s="945" t="s">
        <v>496</v>
      </c>
      <c r="E435" s="950">
        <f>E436+E437</f>
        <v>53168</v>
      </c>
      <c r="F435" s="954">
        <f aca="true" t="shared" si="77" ref="F435:L435">F436+F437</f>
        <v>1400</v>
      </c>
      <c r="G435" s="947">
        <f t="shared" si="77"/>
        <v>54568</v>
      </c>
      <c r="H435" s="950">
        <f t="shared" si="77"/>
        <v>54356.71</v>
      </c>
      <c r="I435" s="954">
        <f t="shared" si="77"/>
        <v>0</v>
      </c>
      <c r="J435" s="959">
        <f t="shared" si="74"/>
        <v>0.9961279504471485</v>
      </c>
      <c r="K435" s="954">
        <f t="shared" si="77"/>
        <v>0</v>
      </c>
      <c r="L435" s="1439">
        <f t="shared" si="77"/>
        <v>0</v>
      </c>
      <c r="M435" s="940"/>
    </row>
    <row r="436" spans="1:13" ht="78.75">
      <c r="A436" s="935"/>
      <c r="B436" s="935"/>
      <c r="C436" s="936" t="s">
        <v>497</v>
      </c>
      <c r="D436" s="946" t="s">
        <v>680</v>
      </c>
      <c r="E436" s="951">
        <v>250</v>
      </c>
      <c r="F436" s="955">
        <f>G436-E436</f>
        <v>100</v>
      </c>
      <c r="G436" s="949">
        <v>350</v>
      </c>
      <c r="H436" s="958">
        <v>191.25</v>
      </c>
      <c r="I436" s="941">
        <v>0</v>
      </c>
      <c r="J436" s="1250">
        <f t="shared" si="74"/>
        <v>0.5464285714285714</v>
      </c>
      <c r="K436" s="941">
        <v>0</v>
      </c>
      <c r="L436" s="941">
        <v>0</v>
      </c>
      <c r="M436" s="940"/>
    </row>
    <row r="437" spans="1:13" ht="12.75">
      <c r="A437" s="935"/>
      <c r="B437" s="935"/>
      <c r="C437" s="936" t="s">
        <v>681</v>
      </c>
      <c r="D437" s="946" t="s">
        <v>43</v>
      </c>
      <c r="E437" s="951">
        <v>52918</v>
      </c>
      <c r="F437" s="955">
        <f>G437-E437</f>
        <v>1300</v>
      </c>
      <c r="G437" s="949">
        <v>54218</v>
      </c>
      <c r="H437" s="958">
        <v>54165.46</v>
      </c>
      <c r="I437" s="941">
        <v>0</v>
      </c>
      <c r="J437" s="1250">
        <f t="shared" si="74"/>
        <v>0.9990309491312848</v>
      </c>
      <c r="K437" s="941">
        <v>0</v>
      </c>
      <c r="L437" s="941">
        <v>0</v>
      </c>
      <c r="M437" s="940"/>
    </row>
    <row r="438" spans="1:13" ht="33.75">
      <c r="A438" s="932"/>
      <c r="B438" s="938" t="s">
        <v>499</v>
      </c>
      <c r="C438" s="933"/>
      <c r="D438" s="945" t="s">
        <v>78</v>
      </c>
      <c r="E438" s="950">
        <f>E439</f>
        <v>459321</v>
      </c>
      <c r="F438" s="954">
        <f aca="true" t="shared" si="78" ref="F438:L438">F439</f>
        <v>58129</v>
      </c>
      <c r="G438" s="947">
        <f t="shared" si="78"/>
        <v>517450</v>
      </c>
      <c r="H438" s="950">
        <f t="shared" si="78"/>
        <v>516609.55</v>
      </c>
      <c r="I438" s="954">
        <f t="shared" si="78"/>
        <v>0</v>
      </c>
      <c r="J438" s="959">
        <f t="shared" si="74"/>
        <v>0.9983757851000097</v>
      </c>
      <c r="K438" s="954">
        <f t="shared" si="78"/>
        <v>7850</v>
      </c>
      <c r="L438" s="1439">
        <f t="shared" si="78"/>
        <v>0</v>
      </c>
      <c r="M438" s="940"/>
    </row>
    <row r="439" spans="1:13" ht="12.75">
      <c r="A439" s="935"/>
      <c r="B439" s="935"/>
      <c r="C439" s="936" t="s">
        <v>682</v>
      </c>
      <c r="D439" s="946" t="s">
        <v>50</v>
      </c>
      <c r="E439" s="951">
        <v>459321</v>
      </c>
      <c r="F439" s="955">
        <f>G439-E439</f>
        <v>58129</v>
      </c>
      <c r="G439" s="949">
        <v>517450</v>
      </c>
      <c r="H439" s="958">
        <v>516609.55</v>
      </c>
      <c r="I439" s="941">
        <v>0</v>
      </c>
      <c r="J439" s="1250">
        <f t="shared" si="74"/>
        <v>0.9983757851000097</v>
      </c>
      <c r="K439" s="941">
        <v>7850</v>
      </c>
      <c r="L439" s="941">
        <v>0</v>
      </c>
      <c r="M439" s="940"/>
    </row>
    <row r="440" spans="1:13" ht="15">
      <c r="A440" s="932"/>
      <c r="B440" s="938" t="s">
        <v>501</v>
      </c>
      <c r="C440" s="933"/>
      <c r="D440" s="945" t="s">
        <v>44</v>
      </c>
      <c r="E440" s="950">
        <f>E441+E442</f>
        <v>380000</v>
      </c>
      <c r="F440" s="954">
        <f aca="true" t="shared" si="79" ref="F440:L440">F441+F442</f>
        <v>18999.99999999998</v>
      </c>
      <c r="G440" s="947">
        <f t="shared" si="79"/>
        <v>399000</v>
      </c>
      <c r="H440" s="950">
        <f t="shared" si="79"/>
        <v>346688.55</v>
      </c>
      <c r="I440" s="954">
        <f t="shared" si="79"/>
        <v>0</v>
      </c>
      <c r="J440" s="959">
        <f t="shared" si="74"/>
        <v>0.8688936090225564</v>
      </c>
      <c r="K440" s="954">
        <f t="shared" si="79"/>
        <v>97224.76</v>
      </c>
      <c r="L440" s="1439">
        <f t="shared" si="79"/>
        <v>0</v>
      </c>
      <c r="M440" s="940"/>
    </row>
    <row r="441" spans="1:13" ht="12.75">
      <c r="A441" s="935"/>
      <c r="B441" s="935"/>
      <c r="C441" s="936" t="s">
        <v>682</v>
      </c>
      <c r="D441" s="946" t="s">
        <v>50</v>
      </c>
      <c r="E441" s="951">
        <v>380000</v>
      </c>
      <c r="F441" s="955">
        <f>G441-E441</f>
        <v>18627.47999999998</v>
      </c>
      <c r="G441" s="949">
        <v>398627.48</v>
      </c>
      <c r="H441" s="958">
        <v>346446.3</v>
      </c>
      <c r="I441" s="941">
        <v>0</v>
      </c>
      <c r="J441" s="1250">
        <f t="shared" si="74"/>
        <v>0.8690978855747727</v>
      </c>
      <c r="K441" s="941">
        <v>97224.76</v>
      </c>
      <c r="L441" s="941">
        <v>0</v>
      </c>
      <c r="M441" s="940"/>
    </row>
    <row r="442" spans="1:13" ht="12.75">
      <c r="A442" s="935"/>
      <c r="B442" s="935"/>
      <c r="C442" s="936" t="s">
        <v>324</v>
      </c>
      <c r="D442" s="946" t="s">
        <v>15</v>
      </c>
      <c r="E442" s="951">
        <v>0</v>
      </c>
      <c r="F442" s="955">
        <f>G442-E442</f>
        <v>372.52</v>
      </c>
      <c r="G442" s="949">
        <v>372.52</v>
      </c>
      <c r="H442" s="958">
        <v>242.25</v>
      </c>
      <c r="I442" s="941">
        <v>0</v>
      </c>
      <c r="J442" s="1250">
        <f t="shared" si="74"/>
        <v>0.6503006549983894</v>
      </c>
      <c r="K442" s="941">
        <v>0</v>
      </c>
      <c r="L442" s="941">
        <v>0</v>
      </c>
      <c r="M442" s="940"/>
    </row>
    <row r="443" spans="1:13" ht="15">
      <c r="A443" s="932"/>
      <c r="B443" s="938" t="s">
        <v>502</v>
      </c>
      <c r="C443" s="933"/>
      <c r="D443" s="945" t="s">
        <v>79</v>
      </c>
      <c r="E443" s="950">
        <f>E444+E445</f>
        <v>282971</v>
      </c>
      <c r="F443" s="954">
        <f aca="true" t="shared" si="80" ref="F443:L443">F444+F445</f>
        <v>168300</v>
      </c>
      <c r="G443" s="947">
        <f t="shared" si="80"/>
        <v>451271</v>
      </c>
      <c r="H443" s="950">
        <f t="shared" si="80"/>
        <v>441991.21</v>
      </c>
      <c r="I443" s="954">
        <f t="shared" si="80"/>
        <v>0</v>
      </c>
      <c r="J443" s="959">
        <f t="shared" si="74"/>
        <v>0.9794363254009232</v>
      </c>
      <c r="K443" s="954">
        <f t="shared" si="80"/>
        <v>0</v>
      </c>
      <c r="L443" s="1439">
        <f t="shared" si="80"/>
        <v>0</v>
      </c>
      <c r="M443" s="940"/>
    </row>
    <row r="444" spans="1:13" ht="78.75">
      <c r="A444" s="935"/>
      <c r="B444" s="935"/>
      <c r="C444" s="936" t="s">
        <v>497</v>
      </c>
      <c r="D444" s="946" t="s">
        <v>680</v>
      </c>
      <c r="E444" s="951">
        <v>700</v>
      </c>
      <c r="F444" s="955">
        <f>G444-E444</f>
        <v>2300</v>
      </c>
      <c r="G444" s="949">
        <v>3000</v>
      </c>
      <c r="H444" s="958">
        <v>1895.75</v>
      </c>
      <c r="I444" s="941">
        <v>0</v>
      </c>
      <c r="J444" s="1250">
        <f t="shared" si="74"/>
        <v>0.6319166666666667</v>
      </c>
      <c r="K444" s="941">
        <v>0</v>
      </c>
      <c r="L444" s="941">
        <v>0</v>
      </c>
      <c r="M444" s="940"/>
    </row>
    <row r="445" spans="1:13" ht="12.75">
      <c r="A445" s="935"/>
      <c r="B445" s="935"/>
      <c r="C445" s="936" t="s">
        <v>682</v>
      </c>
      <c r="D445" s="946" t="s">
        <v>50</v>
      </c>
      <c r="E445" s="951">
        <v>282271</v>
      </c>
      <c r="F445" s="955">
        <f>G445-E445</f>
        <v>166000</v>
      </c>
      <c r="G445" s="949">
        <v>448271</v>
      </c>
      <c r="H445" s="958">
        <v>440095.46</v>
      </c>
      <c r="I445" s="941">
        <v>0</v>
      </c>
      <c r="J445" s="1250">
        <f t="shared" si="74"/>
        <v>0.9817620591115642</v>
      </c>
      <c r="K445" s="941">
        <v>0</v>
      </c>
      <c r="L445" s="941">
        <v>0</v>
      </c>
      <c r="M445" s="940"/>
    </row>
    <row r="446" spans="1:13" ht="15">
      <c r="A446" s="932"/>
      <c r="B446" s="938" t="s">
        <v>503</v>
      </c>
      <c r="C446" s="933"/>
      <c r="D446" s="945" t="s">
        <v>80</v>
      </c>
      <c r="E446" s="950">
        <f>E447+E448+E449+E450+E451+E452+E453+E454+E455+E456+E457+E458+E459+E460+E461+E462+E463+E464</f>
        <v>1389552.7</v>
      </c>
      <c r="F446" s="954">
        <f aca="true" t="shared" si="81" ref="F446:L446">F447+F448+F449+F450+F451+F452+F453+F454+F455+F456+F457+F458+F459+F460+F461+F462+F463+F464</f>
        <v>174087.91</v>
      </c>
      <c r="G446" s="947">
        <f t="shared" si="81"/>
        <v>1563640.6099999999</v>
      </c>
      <c r="H446" s="950">
        <f t="shared" si="81"/>
        <v>1524605.0299999998</v>
      </c>
      <c r="I446" s="954">
        <f t="shared" si="81"/>
        <v>0</v>
      </c>
      <c r="J446" s="959">
        <f t="shared" si="74"/>
        <v>0.975035452679884</v>
      </c>
      <c r="K446" s="954">
        <f t="shared" si="81"/>
        <v>89134.98999999999</v>
      </c>
      <c r="L446" s="1439">
        <f t="shared" si="81"/>
        <v>0</v>
      </c>
      <c r="M446" s="940"/>
    </row>
    <row r="447" spans="1:13" ht="22.5">
      <c r="A447" s="935"/>
      <c r="B447" s="935"/>
      <c r="C447" s="936" t="s">
        <v>576</v>
      </c>
      <c r="D447" s="946" t="s">
        <v>577</v>
      </c>
      <c r="E447" s="951">
        <v>12557</v>
      </c>
      <c r="F447" s="955">
        <f>G447-E447</f>
        <v>-4500</v>
      </c>
      <c r="G447" s="949">
        <v>8057</v>
      </c>
      <c r="H447" s="958">
        <v>7364.7</v>
      </c>
      <c r="I447" s="941">
        <v>0</v>
      </c>
      <c r="J447" s="1250">
        <f t="shared" si="74"/>
        <v>0.9140747176368376</v>
      </c>
      <c r="K447" s="941">
        <v>0</v>
      </c>
      <c r="L447" s="941">
        <v>0</v>
      </c>
      <c r="M447" s="940"/>
    </row>
    <row r="448" spans="1:13" ht="22.5">
      <c r="A448" s="935"/>
      <c r="B448" s="935"/>
      <c r="C448" s="936" t="s">
        <v>543</v>
      </c>
      <c r="D448" s="946" t="s">
        <v>12</v>
      </c>
      <c r="E448" s="951">
        <v>864160</v>
      </c>
      <c r="F448" s="955">
        <f aca="true" t="shared" si="82" ref="F448:F464">G448-E448</f>
        <v>101398.53000000003</v>
      </c>
      <c r="G448" s="949">
        <v>965558.53</v>
      </c>
      <c r="H448" s="958">
        <v>965280.83</v>
      </c>
      <c r="I448" s="941">
        <v>0</v>
      </c>
      <c r="J448" s="1250">
        <f t="shared" si="74"/>
        <v>0.9997123944417952</v>
      </c>
      <c r="K448" s="941">
        <v>0</v>
      </c>
      <c r="L448" s="941">
        <v>0</v>
      </c>
      <c r="M448" s="940"/>
    </row>
    <row r="449" spans="1:13" ht="12.75">
      <c r="A449" s="935"/>
      <c r="B449" s="935"/>
      <c r="C449" s="936" t="s">
        <v>578</v>
      </c>
      <c r="D449" s="946" t="s">
        <v>579</v>
      </c>
      <c r="E449" s="951">
        <v>63230</v>
      </c>
      <c r="F449" s="955">
        <f t="shared" si="82"/>
        <v>-1254.300000000003</v>
      </c>
      <c r="G449" s="949">
        <v>61975.7</v>
      </c>
      <c r="H449" s="958">
        <v>61975.7</v>
      </c>
      <c r="I449" s="941">
        <v>0</v>
      </c>
      <c r="J449" s="1250">
        <f t="shared" si="74"/>
        <v>1</v>
      </c>
      <c r="K449" s="941">
        <v>66851.52</v>
      </c>
      <c r="L449" s="941">
        <v>0</v>
      </c>
      <c r="M449" s="940"/>
    </row>
    <row r="450" spans="1:13" ht="12.75">
      <c r="A450" s="935"/>
      <c r="B450" s="935"/>
      <c r="C450" s="936" t="s">
        <v>333</v>
      </c>
      <c r="D450" s="946" t="s">
        <v>13</v>
      </c>
      <c r="E450" s="951">
        <v>155614.2</v>
      </c>
      <c r="F450" s="955">
        <f t="shared" si="82"/>
        <v>26337.03999999998</v>
      </c>
      <c r="G450" s="949">
        <v>181951.24</v>
      </c>
      <c r="H450" s="958">
        <v>171750.69</v>
      </c>
      <c r="I450" s="941">
        <v>0</v>
      </c>
      <c r="J450" s="1250">
        <f t="shared" si="74"/>
        <v>0.9439380022911633</v>
      </c>
      <c r="K450" s="941">
        <v>11508.58</v>
      </c>
      <c r="L450" s="941">
        <v>0</v>
      </c>
      <c r="M450" s="940"/>
    </row>
    <row r="451" spans="1:13" ht="33.75">
      <c r="A451" s="935"/>
      <c r="B451" s="935"/>
      <c r="C451" s="936" t="s">
        <v>334</v>
      </c>
      <c r="D451" s="1266" t="s">
        <v>875</v>
      </c>
      <c r="E451" s="951">
        <v>22071.5</v>
      </c>
      <c r="F451" s="955">
        <f t="shared" si="82"/>
        <v>-3383.970000000001</v>
      </c>
      <c r="G451" s="949">
        <v>18687.53</v>
      </c>
      <c r="H451" s="958">
        <v>18638.77</v>
      </c>
      <c r="I451" s="941">
        <v>0</v>
      </c>
      <c r="J451" s="1250">
        <f t="shared" si="74"/>
        <v>0.9973907734194942</v>
      </c>
      <c r="K451" s="941">
        <v>1259.68</v>
      </c>
      <c r="L451" s="941">
        <v>0</v>
      </c>
      <c r="M451" s="940"/>
    </row>
    <row r="452" spans="1:13" ht="22.5">
      <c r="A452" s="935"/>
      <c r="B452" s="935"/>
      <c r="C452" s="936" t="s">
        <v>590</v>
      </c>
      <c r="D452" s="946" t="s">
        <v>591</v>
      </c>
      <c r="E452" s="951">
        <v>5000</v>
      </c>
      <c r="F452" s="955">
        <f t="shared" si="82"/>
        <v>-5000</v>
      </c>
      <c r="G452" s="949">
        <v>0</v>
      </c>
      <c r="H452" s="958">
        <v>0</v>
      </c>
      <c r="I452" s="941">
        <v>0</v>
      </c>
      <c r="J452" s="1250">
        <v>0</v>
      </c>
      <c r="K452" s="941">
        <v>0</v>
      </c>
      <c r="L452" s="941">
        <v>0</v>
      </c>
      <c r="M452" s="940"/>
    </row>
    <row r="453" spans="1:13" ht="12.75">
      <c r="A453" s="935"/>
      <c r="B453" s="935"/>
      <c r="C453" s="936" t="s">
        <v>331</v>
      </c>
      <c r="D453" s="946" t="s">
        <v>28</v>
      </c>
      <c r="E453" s="951">
        <v>5000</v>
      </c>
      <c r="F453" s="955">
        <f t="shared" si="82"/>
        <v>-1000</v>
      </c>
      <c r="G453" s="949">
        <v>4000</v>
      </c>
      <c r="H453" s="958">
        <v>4000</v>
      </c>
      <c r="I453" s="941">
        <v>0</v>
      </c>
      <c r="J453" s="1250">
        <f t="shared" si="74"/>
        <v>1</v>
      </c>
      <c r="K453" s="941">
        <v>0</v>
      </c>
      <c r="L453" s="941">
        <v>0</v>
      </c>
      <c r="M453" s="940"/>
    </row>
    <row r="454" spans="1:13" ht="12.75">
      <c r="A454" s="935"/>
      <c r="B454" s="935"/>
      <c r="C454" s="936" t="s">
        <v>324</v>
      </c>
      <c r="D454" s="946" t="s">
        <v>15</v>
      </c>
      <c r="E454" s="951">
        <v>77000</v>
      </c>
      <c r="F454" s="955">
        <f t="shared" si="82"/>
        <v>12310.210000000006</v>
      </c>
      <c r="G454" s="949">
        <v>89310.21</v>
      </c>
      <c r="H454" s="958">
        <v>88371.53</v>
      </c>
      <c r="I454" s="941">
        <v>0</v>
      </c>
      <c r="J454" s="1250">
        <f t="shared" si="74"/>
        <v>0.9894896675307335</v>
      </c>
      <c r="K454" s="941">
        <v>0</v>
      </c>
      <c r="L454" s="941">
        <v>0</v>
      </c>
      <c r="M454" s="940"/>
    </row>
    <row r="455" spans="1:13" ht="12.75">
      <c r="A455" s="935"/>
      <c r="B455" s="935"/>
      <c r="C455" s="936" t="s">
        <v>546</v>
      </c>
      <c r="D455" s="946" t="s">
        <v>37</v>
      </c>
      <c r="E455" s="951">
        <v>38000</v>
      </c>
      <c r="F455" s="955">
        <f t="shared" si="82"/>
        <v>-7000</v>
      </c>
      <c r="G455" s="949">
        <v>31000</v>
      </c>
      <c r="H455" s="958">
        <v>23971.88</v>
      </c>
      <c r="I455" s="941">
        <v>0</v>
      </c>
      <c r="J455" s="1250">
        <f t="shared" si="74"/>
        <v>0.7732864516129032</v>
      </c>
      <c r="K455" s="941">
        <v>5085.31</v>
      </c>
      <c r="L455" s="941">
        <v>0</v>
      </c>
      <c r="M455" s="940"/>
    </row>
    <row r="456" spans="1:13" ht="12.75">
      <c r="A456" s="935"/>
      <c r="B456" s="935"/>
      <c r="C456" s="936" t="s">
        <v>552</v>
      </c>
      <c r="D456" s="946" t="s">
        <v>74</v>
      </c>
      <c r="E456" s="951">
        <v>1500</v>
      </c>
      <c r="F456" s="955">
        <f t="shared" si="82"/>
        <v>-950</v>
      </c>
      <c r="G456" s="949">
        <v>550</v>
      </c>
      <c r="H456" s="958">
        <v>549.75</v>
      </c>
      <c r="I456" s="941">
        <v>0</v>
      </c>
      <c r="J456" s="1250">
        <f t="shared" si="74"/>
        <v>0.9995454545454545</v>
      </c>
      <c r="K456" s="941">
        <v>0</v>
      </c>
      <c r="L456" s="941">
        <v>0</v>
      </c>
      <c r="M456" s="940"/>
    </row>
    <row r="457" spans="1:13" ht="12.75">
      <c r="A457" s="935"/>
      <c r="B457" s="935"/>
      <c r="C457" s="936" t="s">
        <v>592</v>
      </c>
      <c r="D457" s="946" t="s">
        <v>38</v>
      </c>
      <c r="E457" s="951">
        <v>3000</v>
      </c>
      <c r="F457" s="955">
        <f t="shared" si="82"/>
        <v>-1500</v>
      </c>
      <c r="G457" s="949">
        <v>1500</v>
      </c>
      <c r="H457" s="958">
        <v>1131</v>
      </c>
      <c r="I457" s="941">
        <v>0</v>
      </c>
      <c r="J457" s="1250">
        <f t="shared" si="74"/>
        <v>0.754</v>
      </c>
      <c r="K457" s="941">
        <v>0</v>
      </c>
      <c r="L457" s="941">
        <v>0</v>
      </c>
      <c r="M457" s="940"/>
    </row>
    <row r="458" spans="1:13" ht="12.75">
      <c r="A458" s="935"/>
      <c r="B458" s="935"/>
      <c r="C458" s="936" t="s">
        <v>325</v>
      </c>
      <c r="D458" s="946" t="s">
        <v>16</v>
      </c>
      <c r="E458" s="951">
        <v>55758</v>
      </c>
      <c r="F458" s="955">
        <f t="shared" si="82"/>
        <v>60500</v>
      </c>
      <c r="G458" s="949">
        <v>116258</v>
      </c>
      <c r="H458" s="958">
        <v>98473.48</v>
      </c>
      <c r="I458" s="941">
        <v>0</v>
      </c>
      <c r="J458" s="1250">
        <f t="shared" si="74"/>
        <v>0.8470254090041115</v>
      </c>
      <c r="K458" s="941">
        <v>4275.2</v>
      </c>
      <c r="L458" s="941">
        <v>0</v>
      </c>
      <c r="M458" s="940"/>
    </row>
    <row r="459" spans="1:13" ht="22.5">
      <c r="A459" s="935"/>
      <c r="B459" s="935"/>
      <c r="C459" s="936" t="s">
        <v>335</v>
      </c>
      <c r="D459" s="946" t="s">
        <v>553</v>
      </c>
      <c r="E459" s="951">
        <v>11000</v>
      </c>
      <c r="F459" s="955">
        <f t="shared" si="82"/>
        <v>0</v>
      </c>
      <c r="G459" s="949" t="s">
        <v>443</v>
      </c>
      <c r="H459" s="958">
        <v>10845.3</v>
      </c>
      <c r="I459" s="941">
        <v>0</v>
      </c>
      <c r="J459" s="1250">
        <f t="shared" si="74"/>
        <v>0.9859363636363636</v>
      </c>
      <c r="K459" s="941">
        <v>154.7</v>
      </c>
      <c r="L459" s="941">
        <v>0</v>
      </c>
      <c r="M459" s="940"/>
    </row>
    <row r="460" spans="1:13" ht="22.5">
      <c r="A460" s="935"/>
      <c r="B460" s="935"/>
      <c r="C460" s="936" t="s">
        <v>595</v>
      </c>
      <c r="D460" s="946" t="s">
        <v>596</v>
      </c>
      <c r="E460" s="951">
        <v>22000</v>
      </c>
      <c r="F460" s="955">
        <f t="shared" si="82"/>
        <v>-3600</v>
      </c>
      <c r="G460" s="949">
        <v>18400</v>
      </c>
      <c r="H460" s="958">
        <v>18400</v>
      </c>
      <c r="I460" s="941">
        <v>0</v>
      </c>
      <c r="J460" s="1250">
        <f t="shared" si="74"/>
        <v>1</v>
      </c>
      <c r="K460" s="941">
        <v>0</v>
      </c>
      <c r="L460" s="941">
        <v>0</v>
      </c>
      <c r="M460" s="940"/>
    </row>
    <row r="461" spans="1:13" ht="12.75">
      <c r="A461" s="935"/>
      <c r="B461" s="935"/>
      <c r="C461" s="936" t="s">
        <v>597</v>
      </c>
      <c r="D461" s="946" t="s">
        <v>22</v>
      </c>
      <c r="E461" s="951">
        <v>14000</v>
      </c>
      <c r="F461" s="955">
        <f t="shared" si="82"/>
        <v>-3000</v>
      </c>
      <c r="G461" s="949">
        <v>11000</v>
      </c>
      <c r="H461" s="958">
        <v>10402.54</v>
      </c>
      <c r="I461" s="941">
        <v>0</v>
      </c>
      <c r="J461" s="1250">
        <f t="shared" si="74"/>
        <v>0.9456854545454546</v>
      </c>
      <c r="K461" s="941">
        <v>0</v>
      </c>
      <c r="L461" s="941">
        <v>0</v>
      </c>
      <c r="M461" s="940"/>
    </row>
    <row r="462" spans="1:13" ht="12.75">
      <c r="A462" s="935"/>
      <c r="B462" s="935"/>
      <c r="C462" s="936" t="s">
        <v>544</v>
      </c>
      <c r="D462" s="946" t="s">
        <v>17</v>
      </c>
      <c r="E462" s="951">
        <v>1000</v>
      </c>
      <c r="F462" s="955">
        <f t="shared" si="82"/>
        <v>0</v>
      </c>
      <c r="G462" s="949" t="s">
        <v>404</v>
      </c>
      <c r="H462" s="958">
        <v>848.66</v>
      </c>
      <c r="I462" s="941">
        <v>0</v>
      </c>
      <c r="J462" s="1250">
        <f t="shared" si="74"/>
        <v>0.84866</v>
      </c>
      <c r="K462" s="941">
        <v>0</v>
      </c>
      <c r="L462" s="941">
        <v>0</v>
      </c>
      <c r="M462" s="940"/>
    </row>
    <row r="463" spans="1:13" ht="22.5">
      <c r="A463" s="935"/>
      <c r="B463" s="935"/>
      <c r="C463" s="936" t="s">
        <v>598</v>
      </c>
      <c r="D463" s="946" t="s">
        <v>40</v>
      </c>
      <c r="E463" s="951">
        <v>27662</v>
      </c>
      <c r="F463" s="955">
        <f t="shared" si="82"/>
        <v>5230.4000000000015</v>
      </c>
      <c r="G463" s="949">
        <v>32892.4</v>
      </c>
      <c r="H463" s="958">
        <v>32892.4</v>
      </c>
      <c r="I463" s="941">
        <v>0</v>
      </c>
      <c r="J463" s="1250">
        <f t="shared" si="74"/>
        <v>1</v>
      </c>
      <c r="K463" s="941">
        <v>0</v>
      </c>
      <c r="L463" s="941">
        <v>0</v>
      </c>
      <c r="M463" s="940"/>
    </row>
    <row r="464" spans="1:13" ht="22.5">
      <c r="A464" s="935"/>
      <c r="B464" s="935"/>
      <c r="C464" s="936" t="s">
        <v>580</v>
      </c>
      <c r="D464" s="946" t="s">
        <v>581</v>
      </c>
      <c r="E464" s="951">
        <v>11000</v>
      </c>
      <c r="F464" s="955">
        <f t="shared" si="82"/>
        <v>-500</v>
      </c>
      <c r="G464" s="949">
        <v>10500</v>
      </c>
      <c r="H464" s="958">
        <v>9707.8</v>
      </c>
      <c r="I464" s="941">
        <v>0</v>
      </c>
      <c r="J464" s="1250">
        <f t="shared" si="74"/>
        <v>0.9245523809523809</v>
      </c>
      <c r="K464" s="941">
        <v>0</v>
      </c>
      <c r="L464" s="941">
        <v>0</v>
      </c>
      <c r="M464" s="940"/>
    </row>
    <row r="465" spans="1:13" ht="22.5">
      <c r="A465" s="932"/>
      <c r="B465" s="938" t="s">
        <v>504</v>
      </c>
      <c r="C465" s="933"/>
      <c r="D465" s="945" t="s">
        <v>46</v>
      </c>
      <c r="E465" s="950">
        <f>E466+E467+E468+E469</f>
        <v>617184</v>
      </c>
      <c r="F465" s="954">
        <f aca="true" t="shared" si="83" ref="F465:L465">F466+F467+F468+F469</f>
        <v>174816</v>
      </c>
      <c r="G465" s="947">
        <f t="shared" si="83"/>
        <v>792000</v>
      </c>
      <c r="H465" s="950">
        <f t="shared" si="83"/>
        <v>780337</v>
      </c>
      <c r="I465" s="954">
        <f t="shared" si="83"/>
        <v>0</v>
      </c>
      <c r="J465" s="959">
        <f t="shared" si="74"/>
        <v>0.9852739898989898</v>
      </c>
      <c r="K465" s="954">
        <f t="shared" si="83"/>
        <v>0</v>
      </c>
      <c r="L465" s="1439">
        <f t="shared" si="83"/>
        <v>0</v>
      </c>
      <c r="M465" s="940"/>
    </row>
    <row r="466" spans="1:13" ht="22.5">
      <c r="A466" s="935"/>
      <c r="B466" s="935"/>
      <c r="C466" s="936" t="s">
        <v>543</v>
      </c>
      <c r="D466" s="946" t="s">
        <v>12</v>
      </c>
      <c r="E466" s="951">
        <v>0</v>
      </c>
      <c r="F466" s="955">
        <f>G466-E466</f>
        <v>0</v>
      </c>
      <c r="G466" s="949" t="s">
        <v>370</v>
      </c>
      <c r="H466" s="958">
        <v>0</v>
      </c>
      <c r="I466" s="941">
        <v>0</v>
      </c>
      <c r="J466" s="1250">
        <v>0</v>
      </c>
      <c r="K466" s="941">
        <v>0</v>
      </c>
      <c r="L466" s="941">
        <v>0</v>
      </c>
      <c r="M466" s="940"/>
    </row>
    <row r="467" spans="1:13" ht="12.75">
      <c r="A467" s="935"/>
      <c r="B467" s="935"/>
      <c r="C467" s="936" t="s">
        <v>333</v>
      </c>
      <c r="D467" s="946" t="s">
        <v>13</v>
      </c>
      <c r="E467" s="951">
        <v>0</v>
      </c>
      <c r="F467" s="955">
        <f>G467-E467</f>
        <v>0</v>
      </c>
      <c r="G467" s="949" t="s">
        <v>370</v>
      </c>
      <c r="H467" s="958">
        <v>0</v>
      </c>
      <c r="I467" s="941">
        <v>0</v>
      </c>
      <c r="J467" s="1250">
        <v>0</v>
      </c>
      <c r="K467" s="941">
        <v>0</v>
      </c>
      <c r="L467" s="941">
        <v>0</v>
      </c>
      <c r="M467" s="940"/>
    </row>
    <row r="468" spans="1:13" ht="33.75">
      <c r="A468" s="935"/>
      <c r="B468" s="935"/>
      <c r="C468" s="936" t="s">
        <v>334</v>
      </c>
      <c r="D468" s="1266" t="s">
        <v>875</v>
      </c>
      <c r="E468" s="951">
        <v>0</v>
      </c>
      <c r="F468" s="955">
        <f>G468-E468</f>
        <v>0</v>
      </c>
      <c r="G468" s="949" t="s">
        <v>370</v>
      </c>
      <c r="H468" s="958">
        <v>0</v>
      </c>
      <c r="I468" s="941">
        <v>0</v>
      </c>
      <c r="J468" s="1250">
        <v>0</v>
      </c>
      <c r="K468" s="941">
        <v>0</v>
      </c>
      <c r="L468" s="941">
        <v>0</v>
      </c>
      <c r="M468" s="940"/>
    </row>
    <row r="469" spans="1:13" ht="12.75">
      <c r="A469" s="935"/>
      <c r="B469" s="935"/>
      <c r="C469" s="936" t="s">
        <v>325</v>
      </c>
      <c r="D469" s="946" t="s">
        <v>16</v>
      </c>
      <c r="E469" s="951">
        <v>617184</v>
      </c>
      <c r="F469" s="955">
        <f>G469-E469</f>
        <v>174816</v>
      </c>
      <c r="G469" s="949">
        <v>792000</v>
      </c>
      <c r="H469" s="958">
        <v>780337</v>
      </c>
      <c r="I469" s="941">
        <v>0</v>
      </c>
      <c r="J469" s="1250">
        <f t="shared" si="74"/>
        <v>0.9852739898989898</v>
      </c>
      <c r="K469" s="941">
        <v>0</v>
      </c>
      <c r="L469" s="941">
        <v>0</v>
      </c>
      <c r="M469" s="940"/>
    </row>
    <row r="470" spans="1:13" ht="15">
      <c r="A470" s="932"/>
      <c r="B470" s="938" t="s">
        <v>507</v>
      </c>
      <c r="C470" s="933"/>
      <c r="D470" s="945" t="s">
        <v>81</v>
      </c>
      <c r="E470" s="950">
        <f>E471</f>
        <v>140000</v>
      </c>
      <c r="F470" s="954">
        <f aca="true" t="shared" si="84" ref="F470:L470">F471</f>
        <v>210000</v>
      </c>
      <c r="G470" s="947">
        <f t="shared" si="84"/>
        <v>350000</v>
      </c>
      <c r="H470" s="950">
        <f t="shared" si="84"/>
        <v>350000</v>
      </c>
      <c r="I470" s="954">
        <f t="shared" si="84"/>
        <v>0</v>
      </c>
      <c r="J470" s="959">
        <f t="shared" si="74"/>
        <v>1</v>
      </c>
      <c r="K470" s="954">
        <f t="shared" si="84"/>
        <v>0</v>
      </c>
      <c r="L470" s="1439">
        <f t="shared" si="84"/>
        <v>0</v>
      </c>
      <c r="M470" s="940"/>
    </row>
    <row r="471" spans="1:13" ht="12.75">
      <c r="A471" s="935"/>
      <c r="B471" s="935"/>
      <c r="C471" s="936" t="s">
        <v>682</v>
      </c>
      <c r="D471" s="946" t="s">
        <v>50</v>
      </c>
      <c r="E471" s="951">
        <v>140000</v>
      </c>
      <c r="F471" s="955">
        <f>G471-E471</f>
        <v>210000</v>
      </c>
      <c r="G471" s="949">
        <v>350000</v>
      </c>
      <c r="H471" s="958">
        <v>350000</v>
      </c>
      <c r="I471" s="941">
        <v>0</v>
      </c>
      <c r="J471" s="1250">
        <f t="shared" si="74"/>
        <v>1</v>
      </c>
      <c r="K471" s="941">
        <v>0</v>
      </c>
      <c r="L471" s="941">
        <v>0</v>
      </c>
      <c r="M471" s="940"/>
    </row>
    <row r="472" spans="1:13" ht="15">
      <c r="A472" s="932"/>
      <c r="B472" s="938" t="s">
        <v>683</v>
      </c>
      <c r="C472" s="933"/>
      <c r="D472" s="945" t="s">
        <v>256</v>
      </c>
      <c r="E472" s="950">
        <f>E473</f>
        <v>150000</v>
      </c>
      <c r="F472" s="954">
        <f aca="true" t="shared" si="85" ref="F472:L472">F473</f>
        <v>0</v>
      </c>
      <c r="G472" s="947">
        <f t="shared" si="85"/>
        <v>150000</v>
      </c>
      <c r="H472" s="950">
        <f t="shared" si="85"/>
        <v>150000</v>
      </c>
      <c r="I472" s="954">
        <f t="shared" si="85"/>
        <v>0</v>
      </c>
      <c r="J472" s="959">
        <f t="shared" si="74"/>
        <v>1</v>
      </c>
      <c r="K472" s="954">
        <f t="shared" si="85"/>
        <v>0</v>
      </c>
      <c r="L472" s="1439">
        <f t="shared" si="85"/>
        <v>0</v>
      </c>
      <c r="M472" s="940"/>
    </row>
    <row r="473" spans="1:13" ht="22.5">
      <c r="A473" s="935"/>
      <c r="B473" s="935"/>
      <c r="C473" s="936" t="s">
        <v>556</v>
      </c>
      <c r="D473" s="946" t="s">
        <v>255</v>
      </c>
      <c r="E473" s="951">
        <v>150000</v>
      </c>
      <c r="F473" s="955">
        <f>G473-E473</f>
        <v>0</v>
      </c>
      <c r="G473" s="949">
        <v>150000</v>
      </c>
      <c r="H473" s="958">
        <v>150000</v>
      </c>
      <c r="I473" s="941">
        <v>0</v>
      </c>
      <c r="J473" s="1250">
        <f t="shared" si="74"/>
        <v>1</v>
      </c>
      <c r="K473" s="941">
        <v>0</v>
      </c>
      <c r="L473" s="941">
        <v>0</v>
      </c>
      <c r="M473" s="940"/>
    </row>
    <row r="474" spans="1:13" ht="15">
      <c r="A474" s="932"/>
      <c r="B474" s="938" t="s">
        <v>684</v>
      </c>
      <c r="C474" s="933"/>
      <c r="D474" s="945" t="s">
        <v>10</v>
      </c>
      <c r="E474" s="950">
        <f>E475+E476</f>
        <v>14000</v>
      </c>
      <c r="F474" s="954">
        <f aca="true" t="shared" si="86" ref="F474:L474">F475+F476</f>
        <v>5000</v>
      </c>
      <c r="G474" s="947">
        <f t="shared" si="86"/>
        <v>19000</v>
      </c>
      <c r="H474" s="950">
        <f t="shared" si="86"/>
        <v>18911.940000000002</v>
      </c>
      <c r="I474" s="954">
        <f t="shared" si="86"/>
        <v>0</v>
      </c>
      <c r="J474" s="959">
        <f t="shared" si="74"/>
        <v>0.9953652631578949</v>
      </c>
      <c r="K474" s="954">
        <f t="shared" si="86"/>
        <v>0</v>
      </c>
      <c r="L474" s="1439">
        <f t="shared" si="86"/>
        <v>0</v>
      </c>
      <c r="M474" s="940"/>
    </row>
    <row r="475" spans="1:13" ht="12.75">
      <c r="A475" s="935"/>
      <c r="B475" s="935"/>
      <c r="C475" s="936" t="s">
        <v>324</v>
      </c>
      <c r="D475" s="946" t="s">
        <v>15</v>
      </c>
      <c r="E475" s="951">
        <v>6000</v>
      </c>
      <c r="F475" s="955">
        <f>G475-E475</f>
        <v>5000</v>
      </c>
      <c r="G475" s="949">
        <v>11000</v>
      </c>
      <c r="H475" s="958">
        <v>10911.94</v>
      </c>
      <c r="I475" s="941">
        <v>0</v>
      </c>
      <c r="J475" s="1250">
        <f t="shared" si="74"/>
        <v>0.9919945454545455</v>
      </c>
      <c r="K475" s="941">
        <v>0</v>
      </c>
      <c r="L475" s="941">
        <v>0</v>
      </c>
      <c r="M475" s="940"/>
    </row>
    <row r="476" spans="1:13" ht="12.75">
      <c r="A476" s="935"/>
      <c r="B476" s="935"/>
      <c r="C476" s="936" t="s">
        <v>325</v>
      </c>
      <c r="D476" s="946" t="s">
        <v>16</v>
      </c>
      <c r="E476" s="951">
        <v>8000</v>
      </c>
      <c r="F476" s="955">
        <f>G476-E476</f>
        <v>0</v>
      </c>
      <c r="G476" s="949">
        <v>8000</v>
      </c>
      <c r="H476" s="958">
        <v>8000</v>
      </c>
      <c r="I476" s="941">
        <v>0</v>
      </c>
      <c r="J476" s="1250">
        <f t="shared" si="74"/>
        <v>1</v>
      </c>
      <c r="K476" s="941">
        <v>0</v>
      </c>
      <c r="L476" s="941">
        <v>0</v>
      </c>
      <c r="M476" s="940"/>
    </row>
    <row r="477" spans="1:13" ht="22.5">
      <c r="A477" s="965" t="s">
        <v>508</v>
      </c>
      <c r="B477" s="965"/>
      <c r="C477" s="965"/>
      <c r="D477" s="966" t="s">
        <v>271</v>
      </c>
      <c r="E477" s="967">
        <f>E478</f>
        <v>67597.3</v>
      </c>
      <c r="F477" s="963">
        <f aca="true" t="shared" si="87" ref="F477:L477">F478</f>
        <v>107845.01999999999</v>
      </c>
      <c r="G477" s="968">
        <f t="shared" si="87"/>
        <v>175442.32</v>
      </c>
      <c r="H477" s="967">
        <f t="shared" si="87"/>
        <v>134668.83000000002</v>
      </c>
      <c r="I477" s="963">
        <f t="shared" si="87"/>
        <v>0</v>
      </c>
      <c r="J477" s="964">
        <f t="shared" si="74"/>
        <v>0.7675960395416568</v>
      </c>
      <c r="K477" s="963">
        <f t="shared" si="87"/>
        <v>0</v>
      </c>
      <c r="L477" s="1440">
        <f t="shared" si="87"/>
        <v>0</v>
      </c>
      <c r="M477" s="940"/>
    </row>
    <row r="478" spans="1:13" ht="15">
      <c r="A478" s="932"/>
      <c r="B478" s="938" t="s">
        <v>509</v>
      </c>
      <c r="C478" s="933"/>
      <c r="D478" s="945" t="s">
        <v>10</v>
      </c>
      <c r="E478" s="950">
        <f>E479+E480+E481+E482+E483+E484+E485+E486+E487+E488+E489+E490+E491+E492+E493+E494+E495+E496+E497</f>
        <v>67597.3</v>
      </c>
      <c r="F478" s="954">
        <f aca="true" t="shared" si="88" ref="F478:L478">F479+F480+F481+F482+F483+F484+F485+F486+F487+F488+F489+F490+F491+F492+F493+F494+F495+F496+F497</f>
        <v>107845.01999999999</v>
      </c>
      <c r="G478" s="947">
        <f t="shared" si="88"/>
        <v>175442.32</v>
      </c>
      <c r="H478" s="950">
        <f t="shared" si="88"/>
        <v>134668.83000000002</v>
      </c>
      <c r="I478" s="954">
        <f t="shared" si="88"/>
        <v>0</v>
      </c>
      <c r="J478" s="959">
        <f t="shared" si="74"/>
        <v>0.7675960395416568</v>
      </c>
      <c r="K478" s="954">
        <f t="shared" si="88"/>
        <v>0</v>
      </c>
      <c r="L478" s="1439">
        <f t="shared" si="88"/>
        <v>0</v>
      </c>
      <c r="M478" s="940"/>
    </row>
    <row r="479" spans="1:13" ht="78.75">
      <c r="A479" s="935"/>
      <c r="B479" s="935"/>
      <c r="C479" s="936" t="s">
        <v>505</v>
      </c>
      <c r="D479" s="946" t="s">
        <v>617</v>
      </c>
      <c r="E479" s="951">
        <v>14000</v>
      </c>
      <c r="F479" s="955">
        <f>G479-E479</f>
        <v>0</v>
      </c>
      <c r="G479" s="949">
        <v>14000</v>
      </c>
      <c r="H479" s="958">
        <v>11100</v>
      </c>
      <c r="I479" s="941">
        <v>0</v>
      </c>
      <c r="J479" s="1250">
        <f t="shared" si="74"/>
        <v>0.7928571428571428</v>
      </c>
      <c r="K479" s="941">
        <v>0</v>
      </c>
      <c r="L479" s="941">
        <v>0</v>
      </c>
      <c r="M479" s="940"/>
    </row>
    <row r="480" spans="1:13" ht="12.75">
      <c r="A480" s="935"/>
      <c r="B480" s="935"/>
      <c r="C480" s="936" t="s">
        <v>685</v>
      </c>
      <c r="D480" s="946" t="s">
        <v>50</v>
      </c>
      <c r="E480" s="951">
        <v>3000</v>
      </c>
      <c r="F480" s="955">
        <f aca="true" t="shared" si="89" ref="F480:F497">G480-E480</f>
        <v>-3000</v>
      </c>
      <c r="G480" s="949">
        <v>0</v>
      </c>
      <c r="H480" s="958">
        <v>0</v>
      </c>
      <c r="I480" s="941">
        <v>0</v>
      </c>
      <c r="J480" s="1250">
        <v>0</v>
      </c>
      <c r="K480" s="941">
        <v>0</v>
      </c>
      <c r="L480" s="941">
        <v>0</v>
      </c>
      <c r="M480" s="940"/>
    </row>
    <row r="481" spans="1:13" ht="12.75">
      <c r="A481" s="935"/>
      <c r="B481" s="935"/>
      <c r="C481" s="936" t="s">
        <v>686</v>
      </c>
      <c r="D481" s="946" t="s">
        <v>50</v>
      </c>
      <c r="E481" s="951">
        <v>523.8</v>
      </c>
      <c r="F481" s="955">
        <f t="shared" si="89"/>
        <v>-523.8</v>
      </c>
      <c r="G481" s="949">
        <v>0</v>
      </c>
      <c r="H481" s="958">
        <v>0</v>
      </c>
      <c r="I481" s="941">
        <v>0</v>
      </c>
      <c r="J481" s="1250">
        <v>0</v>
      </c>
      <c r="K481" s="941">
        <v>0</v>
      </c>
      <c r="L481" s="941">
        <v>0</v>
      </c>
      <c r="M481" s="940"/>
    </row>
    <row r="482" spans="1:13" ht="22.5">
      <c r="A482" s="935"/>
      <c r="B482" s="935"/>
      <c r="C482" s="936" t="s">
        <v>657</v>
      </c>
      <c r="D482" s="946" t="s">
        <v>12</v>
      </c>
      <c r="E482" s="951">
        <v>0</v>
      </c>
      <c r="F482" s="955">
        <f t="shared" si="89"/>
        <v>25629.52</v>
      </c>
      <c r="G482" s="949">
        <v>25629.52</v>
      </c>
      <c r="H482" s="958">
        <v>24128.52</v>
      </c>
      <c r="I482" s="941">
        <v>0</v>
      </c>
      <c r="J482" s="1250">
        <f t="shared" si="74"/>
        <v>0.9414347205878222</v>
      </c>
      <c r="K482" s="941">
        <v>0</v>
      </c>
      <c r="L482" s="941">
        <v>0</v>
      </c>
      <c r="M482" s="940"/>
    </row>
    <row r="483" spans="1:13" ht="22.5">
      <c r="A483" s="935"/>
      <c r="B483" s="935"/>
      <c r="C483" s="936" t="s">
        <v>658</v>
      </c>
      <c r="D483" s="946" t="s">
        <v>12</v>
      </c>
      <c r="E483" s="951">
        <v>0</v>
      </c>
      <c r="F483" s="955">
        <f t="shared" si="89"/>
        <v>0</v>
      </c>
      <c r="G483" s="949">
        <v>0</v>
      </c>
      <c r="H483" s="958">
        <v>0</v>
      </c>
      <c r="I483" s="941">
        <v>0</v>
      </c>
      <c r="J483" s="1250">
        <v>0</v>
      </c>
      <c r="K483" s="941">
        <v>0</v>
      </c>
      <c r="L483" s="941">
        <v>0</v>
      </c>
      <c r="M483" s="940"/>
    </row>
    <row r="484" spans="1:13" ht="12.75">
      <c r="A484" s="935"/>
      <c r="B484" s="935"/>
      <c r="C484" s="936" t="s">
        <v>659</v>
      </c>
      <c r="D484" s="946" t="s">
        <v>13</v>
      </c>
      <c r="E484" s="951">
        <v>0</v>
      </c>
      <c r="F484" s="955">
        <f t="shared" si="89"/>
        <v>5127.25</v>
      </c>
      <c r="G484" s="949">
        <v>5127.25</v>
      </c>
      <c r="H484" s="958">
        <v>4865.17</v>
      </c>
      <c r="I484" s="941">
        <v>0</v>
      </c>
      <c r="J484" s="1250">
        <f aca="true" t="shared" si="90" ref="J484:J550">H484/G484</f>
        <v>0.9488848798088644</v>
      </c>
      <c r="K484" s="941">
        <v>0</v>
      </c>
      <c r="L484" s="941">
        <v>0</v>
      </c>
      <c r="M484" s="940"/>
    </row>
    <row r="485" spans="1:13" ht="12.75">
      <c r="A485" s="935"/>
      <c r="B485" s="935"/>
      <c r="C485" s="936" t="s">
        <v>660</v>
      </c>
      <c r="D485" s="946" t="s">
        <v>13</v>
      </c>
      <c r="E485" s="951">
        <v>0</v>
      </c>
      <c r="F485" s="955">
        <f t="shared" si="89"/>
        <v>0</v>
      </c>
      <c r="G485" s="949">
        <v>0</v>
      </c>
      <c r="H485" s="958">
        <v>0</v>
      </c>
      <c r="I485" s="941">
        <v>0</v>
      </c>
      <c r="J485" s="1250">
        <v>0</v>
      </c>
      <c r="K485" s="941">
        <v>0</v>
      </c>
      <c r="L485" s="941">
        <v>0</v>
      </c>
      <c r="M485" s="940"/>
    </row>
    <row r="486" spans="1:13" ht="33.75">
      <c r="A486" s="935"/>
      <c r="B486" s="935"/>
      <c r="C486" s="936" t="s">
        <v>661</v>
      </c>
      <c r="D486" s="1266" t="s">
        <v>875</v>
      </c>
      <c r="E486" s="951">
        <v>73.5</v>
      </c>
      <c r="F486" s="955">
        <f t="shared" si="89"/>
        <v>557.29</v>
      </c>
      <c r="G486" s="949">
        <v>630.79</v>
      </c>
      <c r="H486" s="958">
        <v>581.78</v>
      </c>
      <c r="I486" s="941">
        <v>0</v>
      </c>
      <c r="J486" s="1250">
        <f t="shared" si="90"/>
        <v>0.9223037778024382</v>
      </c>
      <c r="K486" s="941">
        <v>0</v>
      </c>
      <c r="L486" s="941">
        <v>0</v>
      </c>
      <c r="M486" s="940"/>
    </row>
    <row r="487" spans="1:13" ht="33.75">
      <c r="A487" s="935"/>
      <c r="B487" s="935"/>
      <c r="C487" s="936" t="s">
        <v>662</v>
      </c>
      <c r="D487" s="1266" t="s">
        <v>875</v>
      </c>
      <c r="E487" s="951">
        <v>0</v>
      </c>
      <c r="F487" s="955">
        <f t="shared" si="89"/>
        <v>0</v>
      </c>
      <c r="G487" s="949">
        <v>0</v>
      </c>
      <c r="H487" s="958">
        <v>0</v>
      </c>
      <c r="I487" s="941">
        <v>0</v>
      </c>
      <c r="J487" s="1250">
        <v>0</v>
      </c>
      <c r="K487" s="941">
        <v>0</v>
      </c>
      <c r="L487" s="941">
        <v>0</v>
      </c>
      <c r="M487" s="940"/>
    </row>
    <row r="488" spans="1:13" ht="12.75">
      <c r="A488" s="935"/>
      <c r="B488" s="935"/>
      <c r="C488" s="936" t="s">
        <v>687</v>
      </c>
      <c r="D488" s="946" t="s">
        <v>43</v>
      </c>
      <c r="E488" s="951">
        <v>0</v>
      </c>
      <c r="F488" s="955">
        <f t="shared" si="89"/>
        <v>0</v>
      </c>
      <c r="G488" s="949">
        <v>0</v>
      </c>
      <c r="H488" s="958">
        <v>0</v>
      </c>
      <c r="I488" s="941">
        <v>0</v>
      </c>
      <c r="J488" s="1250">
        <v>0</v>
      </c>
      <c r="K488" s="941">
        <v>0</v>
      </c>
      <c r="L488" s="941">
        <v>0</v>
      </c>
      <c r="M488" s="940"/>
    </row>
    <row r="489" spans="1:13" ht="12.75">
      <c r="A489" s="935"/>
      <c r="B489" s="935"/>
      <c r="C489" s="936" t="s">
        <v>688</v>
      </c>
      <c r="D489" s="946" t="s">
        <v>28</v>
      </c>
      <c r="E489" s="951">
        <v>0</v>
      </c>
      <c r="F489" s="955">
        <f t="shared" si="89"/>
        <v>13346.14</v>
      </c>
      <c r="G489" s="949">
        <v>13346.14</v>
      </c>
      <c r="H489" s="958">
        <v>12346.14</v>
      </c>
      <c r="I489" s="941">
        <v>0</v>
      </c>
      <c r="J489" s="1250">
        <f t="shared" si="90"/>
        <v>0.9250719683743764</v>
      </c>
      <c r="K489" s="941">
        <v>0</v>
      </c>
      <c r="L489" s="941">
        <v>0</v>
      </c>
      <c r="M489" s="940"/>
    </row>
    <row r="490" spans="1:13" ht="12.75">
      <c r="A490" s="935"/>
      <c r="B490" s="935"/>
      <c r="C490" s="936" t="s">
        <v>663</v>
      </c>
      <c r="D490" s="946" t="s">
        <v>15</v>
      </c>
      <c r="E490" s="951">
        <v>0</v>
      </c>
      <c r="F490" s="955">
        <f t="shared" si="89"/>
        <v>0</v>
      </c>
      <c r="G490" s="949">
        <v>0</v>
      </c>
      <c r="H490" s="958">
        <v>0</v>
      </c>
      <c r="I490" s="941">
        <v>0</v>
      </c>
      <c r="J490" s="1250">
        <v>0</v>
      </c>
      <c r="K490" s="941">
        <v>0</v>
      </c>
      <c r="L490" s="941">
        <v>0</v>
      </c>
      <c r="M490" s="940"/>
    </row>
    <row r="491" spans="1:13" ht="12.75">
      <c r="A491" s="935"/>
      <c r="B491" s="935"/>
      <c r="C491" s="936" t="s">
        <v>664</v>
      </c>
      <c r="D491" s="946" t="s">
        <v>15</v>
      </c>
      <c r="E491" s="951">
        <v>0</v>
      </c>
      <c r="F491" s="955">
        <f t="shared" si="89"/>
        <v>0</v>
      </c>
      <c r="G491" s="949">
        <v>0</v>
      </c>
      <c r="H491" s="958">
        <v>0</v>
      </c>
      <c r="I491" s="941">
        <v>0</v>
      </c>
      <c r="J491" s="1250">
        <v>0</v>
      </c>
      <c r="K491" s="941">
        <v>0</v>
      </c>
      <c r="L491" s="941">
        <v>0</v>
      </c>
      <c r="M491" s="940"/>
    </row>
    <row r="492" spans="1:13" ht="12.75">
      <c r="A492" s="935"/>
      <c r="B492" s="935"/>
      <c r="C492" s="936" t="s">
        <v>689</v>
      </c>
      <c r="D492" s="946" t="s">
        <v>38</v>
      </c>
      <c r="E492" s="951">
        <v>0</v>
      </c>
      <c r="F492" s="955">
        <f t="shared" si="89"/>
        <v>0</v>
      </c>
      <c r="G492" s="949" t="s">
        <v>370</v>
      </c>
      <c r="H492" s="958">
        <v>0</v>
      </c>
      <c r="I492" s="941">
        <v>0</v>
      </c>
      <c r="J492" s="1250">
        <v>0</v>
      </c>
      <c r="K492" s="941">
        <v>0</v>
      </c>
      <c r="L492" s="941">
        <v>0</v>
      </c>
      <c r="M492" s="940"/>
    </row>
    <row r="493" spans="1:13" ht="12.75">
      <c r="A493" s="935"/>
      <c r="B493" s="935"/>
      <c r="C493" s="936" t="s">
        <v>667</v>
      </c>
      <c r="D493" s="946" t="s">
        <v>16</v>
      </c>
      <c r="E493" s="951">
        <v>50000</v>
      </c>
      <c r="F493" s="955">
        <f t="shared" si="89"/>
        <v>66708.62</v>
      </c>
      <c r="G493" s="949">
        <v>116708.62</v>
      </c>
      <c r="H493" s="958">
        <v>81647.22</v>
      </c>
      <c r="I493" s="941">
        <v>0</v>
      </c>
      <c r="J493" s="1250">
        <f t="shared" si="90"/>
        <v>0.6995817446903236</v>
      </c>
      <c r="K493" s="941">
        <v>0</v>
      </c>
      <c r="L493" s="941">
        <v>0</v>
      </c>
      <c r="M493" s="940"/>
    </row>
    <row r="494" spans="1:13" ht="12.75">
      <c r="A494" s="935"/>
      <c r="B494" s="935"/>
      <c r="C494" s="936" t="s">
        <v>668</v>
      </c>
      <c r="D494" s="946" t="s">
        <v>16</v>
      </c>
      <c r="E494" s="951">
        <v>0</v>
      </c>
      <c r="F494" s="955">
        <f t="shared" si="89"/>
        <v>0</v>
      </c>
      <c r="G494" s="949">
        <v>0</v>
      </c>
      <c r="H494" s="958">
        <v>0</v>
      </c>
      <c r="I494" s="941">
        <v>0</v>
      </c>
      <c r="J494" s="1250">
        <v>0</v>
      </c>
      <c r="K494" s="941">
        <v>0</v>
      </c>
      <c r="L494" s="941">
        <v>0</v>
      </c>
      <c r="M494" s="940"/>
    </row>
    <row r="495" spans="1:13" ht="12.75">
      <c r="A495" s="935"/>
      <c r="B495" s="935"/>
      <c r="C495" s="936" t="s">
        <v>690</v>
      </c>
      <c r="D495" s="946" t="s">
        <v>22</v>
      </c>
      <c r="E495" s="951">
        <v>0</v>
      </c>
      <c r="F495" s="955">
        <f t="shared" si="89"/>
        <v>0</v>
      </c>
      <c r="G495" s="949">
        <v>0</v>
      </c>
      <c r="H495" s="941">
        <v>0</v>
      </c>
      <c r="I495" s="941">
        <v>0</v>
      </c>
      <c r="J495" s="1250">
        <v>0</v>
      </c>
      <c r="K495" s="941">
        <v>0</v>
      </c>
      <c r="L495" s="941">
        <v>0</v>
      </c>
      <c r="M495" s="940"/>
    </row>
    <row r="496" spans="1:13" ht="12.75">
      <c r="A496" s="935"/>
      <c r="B496" s="935"/>
      <c r="C496" s="936" t="s">
        <v>691</v>
      </c>
      <c r="D496" s="946" t="s">
        <v>22</v>
      </c>
      <c r="E496" s="951">
        <v>0</v>
      </c>
      <c r="F496" s="955">
        <f t="shared" si="89"/>
        <v>0</v>
      </c>
      <c r="G496" s="949">
        <v>0</v>
      </c>
      <c r="H496" s="941">
        <v>0</v>
      </c>
      <c r="I496" s="941">
        <v>0</v>
      </c>
      <c r="J496" s="1250">
        <v>0</v>
      </c>
      <c r="K496" s="941">
        <v>0</v>
      </c>
      <c r="L496" s="941">
        <v>0</v>
      </c>
      <c r="M496" s="940"/>
    </row>
    <row r="497" spans="1:13" ht="12.75">
      <c r="A497" s="935"/>
      <c r="B497" s="935"/>
      <c r="C497" s="936" t="s">
        <v>692</v>
      </c>
      <c r="D497" s="946" t="s">
        <v>17</v>
      </c>
      <c r="E497" s="951">
        <v>0</v>
      </c>
      <c r="F497" s="955">
        <f t="shared" si="89"/>
        <v>0</v>
      </c>
      <c r="G497" s="949" t="s">
        <v>370</v>
      </c>
      <c r="H497" s="958">
        <v>0</v>
      </c>
      <c r="I497" s="941">
        <v>0</v>
      </c>
      <c r="J497" s="1250">
        <v>0</v>
      </c>
      <c r="K497" s="941">
        <v>0</v>
      </c>
      <c r="L497" s="941">
        <v>0</v>
      </c>
      <c r="M497" s="940"/>
    </row>
    <row r="498" spans="1:13" ht="12.75">
      <c r="A498" s="965" t="s">
        <v>510</v>
      </c>
      <c r="B498" s="965"/>
      <c r="C498" s="965"/>
      <c r="D498" s="966" t="s">
        <v>82</v>
      </c>
      <c r="E498" s="967">
        <f>E499+E511+E514</f>
        <v>887858</v>
      </c>
      <c r="F498" s="963">
        <f aca="true" t="shared" si="91" ref="F498:L498">F499+F511+F514</f>
        <v>382904.30000000005</v>
      </c>
      <c r="G498" s="968">
        <f t="shared" si="91"/>
        <v>1270762.3</v>
      </c>
      <c r="H498" s="967">
        <f t="shared" si="91"/>
        <v>1220335.94</v>
      </c>
      <c r="I498" s="963">
        <f t="shared" si="91"/>
        <v>0</v>
      </c>
      <c r="J498" s="964">
        <f t="shared" si="90"/>
        <v>0.9603180232841342</v>
      </c>
      <c r="K498" s="963">
        <f t="shared" si="91"/>
        <v>88726.43</v>
      </c>
      <c r="L498" s="1440">
        <f t="shared" si="91"/>
        <v>0</v>
      </c>
      <c r="M498" s="940"/>
    </row>
    <row r="499" spans="1:13" ht="15">
      <c r="A499" s="932"/>
      <c r="B499" s="938" t="s">
        <v>693</v>
      </c>
      <c r="C499" s="933"/>
      <c r="D499" s="945" t="s">
        <v>694</v>
      </c>
      <c r="E499" s="950">
        <f>E500+E501+E502+E503+E504+E505+E506+E507+E508+E509+E510</f>
        <v>848058</v>
      </c>
      <c r="F499" s="954">
        <f aca="true" t="shared" si="92" ref="F499:L499">F500+F501+F502+F503+F504+F505+F506+F507+F508+F509+F510</f>
        <v>150669.30000000002</v>
      </c>
      <c r="G499" s="947">
        <f t="shared" si="92"/>
        <v>998727.3</v>
      </c>
      <c r="H499" s="950">
        <f t="shared" si="92"/>
        <v>986731.4400000001</v>
      </c>
      <c r="I499" s="954">
        <f t="shared" si="92"/>
        <v>0</v>
      </c>
      <c r="J499" s="959">
        <f t="shared" si="90"/>
        <v>0.9879888534137397</v>
      </c>
      <c r="K499" s="954">
        <f t="shared" si="92"/>
        <v>88726.43</v>
      </c>
      <c r="L499" s="1439">
        <f t="shared" si="92"/>
        <v>0</v>
      </c>
      <c r="M499" s="940"/>
    </row>
    <row r="500" spans="1:13" ht="22.5">
      <c r="A500" s="935"/>
      <c r="B500" s="935"/>
      <c r="C500" s="936" t="s">
        <v>576</v>
      </c>
      <c r="D500" s="946" t="s">
        <v>577</v>
      </c>
      <c r="E500" s="951">
        <v>3717</v>
      </c>
      <c r="F500" s="955">
        <f>G500-E500</f>
        <v>200</v>
      </c>
      <c r="G500" s="949">
        <v>3917</v>
      </c>
      <c r="H500" s="958">
        <v>2544.26</v>
      </c>
      <c r="I500" s="941">
        <v>0</v>
      </c>
      <c r="J500" s="1250">
        <f t="shared" si="90"/>
        <v>0.6495430176155221</v>
      </c>
      <c r="K500" s="941">
        <v>0</v>
      </c>
      <c r="L500" s="941">
        <v>0</v>
      </c>
      <c r="M500" s="940"/>
    </row>
    <row r="501" spans="1:13" ht="22.5">
      <c r="A501" s="935"/>
      <c r="B501" s="935"/>
      <c r="C501" s="936" t="s">
        <v>543</v>
      </c>
      <c r="D501" s="946" t="s">
        <v>12</v>
      </c>
      <c r="E501" s="951">
        <v>593300</v>
      </c>
      <c r="F501" s="955">
        <f aca="true" t="shared" si="93" ref="F501:F510">G501-E501</f>
        <v>139883</v>
      </c>
      <c r="G501" s="949">
        <v>733183</v>
      </c>
      <c r="H501" s="958">
        <v>730175.35</v>
      </c>
      <c r="I501" s="941">
        <v>0</v>
      </c>
      <c r="J501" s="1250">
        <f t="shared" si="90"/>
        <v>0.9958978181436285</v>
      </c>
      <c r="K501" s="941">
        <v>9278.31</v>
      </c>
      <c r="L501" s="941">
        <v>0</v>
      </c>
      <c r="M501" s="940"/>
    </row>
    <row r="502" spans="1:13" ht="12.75">
      <c r="A502" s="935"/>
      <c r="B502" s="935"/>
      <c r="C502" s="936" t="s">
        <v>578</v>
      </c>
      <c r="D502" s="946" t="s">
        <v>579</v>
      </c>
      <c r="E502" s="951">
        <v>46270</v>
      </c>
      <c r="F502" s="955">
        <f t="shared" si="93"/>
        <v>0</v>
      </c>
      <c r="G502" s="949">
        <v>46270</v>
      </c>
      <c r="H502" s="958">
        <v>46270</v>
      </c>
      <c r="I502" s="941">
        <v>0</v>
      </c>
      <c r="J502" s="1250">
        <f t="shared" si="90"/>
        <v>1</v>
      </c>
      <c r="K502" s="941">
        <v>63018.88</v>
      </c>
      <c r="L502" s="941">
        <v>0</v>
      </c>
      <c r="M502" s="940"/>
    </row>
    <row r="503" spans="1:13" ht="12.75">
      <c r="A503" s="935"/>
      <c r="B503" s="935"/>
      <c r="C503" s="936" t="s">
        <v>333</v>
      </c>
      <c r="D503" s="946" t="s">
        <v>13</v>
      </c>
      <c r="E503" s="951">
        <v>108489</v>
      </c>
      <c r="F503" s="955">
        <f t="shared" si="93"/>
        <v>23759.51000000001</v>
      </c>
      <c r="G503" s="949">
        <v>132248.51</v>
      </c>
      <c r="H503" s="958">
        <v>129861.43</v>
      </c>
      <c r="I503" s="941">
        <v>0</v>
      </c>
      <c r="J503" s="1250">
        <f t="shared" si="90"/>
        <v>0.9819500423861107</v>
      </c>
      <c r="K503" s="941">
        <v>14938.84</v>
      </c>
      <c r="L503" s="941">
        <v>0</v>
      </c>
      <c r="M503" s="940"/>
    </row>
    <row r="504" spans="1:13" ht="33.75">
      <c r="A504" s="935"/>
      <c r="B504" s="935"/>
      <c r="C504" s="936" t="s">
        <v>334</v>
      </c>
      <c r="D504" s="1266" t="s">
        <v>875</v>
      </c>
      <c r="E504" s="951">
        <v>15474</v>
      </c>
      <c r="F504" s="955">
        <f t="shared" si="93"/>
        <v>1695.7900000000009</v>
      </c>
      <c r="G504" s="949">
        <v>17169.79</v>
      </c>
      <c r="H504" s="958">
        <v>16367.58</v>
      </c>
      <c r="I504" s="941">
        <v>0</v>
      </c>
      <c r="J504" s="1250">
        <f t="shared" si="90"/>
        <v>0.9532778211032283</v>
      </c>
      <c r="K504" s="941">
        <v>1490.4</v>
      </c>
      <c r="L504" s="941">
        <v>0</v>
      </c>
      <c r="M504" s="940"/>
    </row>
    <row r="505" spans="1:13" ht="12.75">
      <c r="A505" s="935"/>
      <c r="B505" s="935"/>
      <c r="C505" s="936" t="s">
        <v>324</v>
      </c>
      <c r="D505" s="946" t="s">
        <v>15</v>
      </c>
      <c r="E505" s="951">
        <v>16400</v>
      </c>
      <c r="F505" s="955">
        <f t="shared" si="93"/>
        <v>-5000</v>
      </c>
      <c r="G505" s="949">
        <v>11400</v>
      </c>
      <c r="H505" s="958">
        <v>9016.67</v>
      </c>
      <c r="I505" s="941">
        <v>0</v>
      </c>
      <c r="J505" s="1250">
        <f t="shared" si="90"/>
        <v>0.7909359649122807</v>
      </c>
      <c r="K505" s="941">
        <v>0</v>
      </c>
      <c r="L505" s="941">
        <v>0</v>
      </c>
      <c r="M505" s="940"/>
    </row>
    <row r="506" spans="1:13" ht="22.5">
      <c r="A506" s="935"/>
      <c r="B506" s="935"/>
      <c r="C506" s="936" t="s">
        <v>631</v>
      </c>
      <c r="D506" s="946" t="s">
        <v>32</v>
      </c>
      <c r="E506" s="951">
        <v>9200</v>
      </c>
      <c r="F506" s="955">
        <f t="shared" si="93"/>
        <v>-700</v>
      </c>
      <c r="G506" s="949">
        <v>8500</v>
      </c>
      <c r="H506" s="958">
        <v>7370.03</v>
      </c>
      <c r="I506" s="941">
        <v>0</v>
      </c>
      <c r="J506" s="1250">
        <f t="shared" si="90"/>
        <v>0.8670623529411764</v>
      </c>
      <c r="K506" s="941">
        <v>0</v>
      </c>
      <c r="L506" s="941">
        <v>0</v>
      </c>
      <c r="M506" s="940"/>
    </row>
    <row r="507" spans="1:13" ht="12.75">
      <c r="A507" s="935"/>
      <c r="B507" s="935"/>
      <c r="C507" s="936" t="s">
        <v>546</v>
      </c>
      <c r="D507" s="946" t="s">
        <v>37</v>
      </c>
      <c r="E507" s="951">
        <v>13000</v>
      </c>
      <c r="F507" s="955">
        <f t="shared" si="93"/>
        <v>-6000</v>
      </c>
      <c r="G507" s="949">
        <v>7000</v>
      </c>
      <c r="H507" s="958">
        <v>6758.9</v>
      </c>
      <c r="I507" s="941">
        <v>0</v>
      </c>
      <c r="J507" s="1250">
        <f t="shared" si="90"/>
        <v>0.9655571428571428</v>
      </c>
      <c r="K507" s="941">
        <v>0</v>
      </c>
      <c r="L507" s="941">
        <v>0</v>
      </c>
      <c r="M507" s="940"/>
    </row>
    <row r="508" spans="1:13" ht="12.75">
      <c r="A508" s="935"/>
      <c r="B508" s="935"/>
      <c r="C508" s="936" t="s">
        <v>552</v>
      </c>
      <c r="D508" s="946" t="s">
        <v>74</v>
      </c>
      <c r="E508" s="951">
        <v>3000</v>
      </c>
      <c r="F508" s="955">
        <f t="shared" si="93"/>
        <v>-2584</v>
      </c>
      <c r="G508" s="949">
        <v>416</v>
      </c>
      <c r="H508" s="958">
        <v>415.88</v>
      </c>
      <c r="I508" s="941">
        <v>0</v>
      </c>
      <c r="J508" s="1250">
        <f t="shared" si="90"/>
        <v>0.9997115384615385</v>
      </c>
      <c r="K508" s="941">
        <v>0</v>
      </c>
      <c r="L508" s="941">
        <v>0</v>
      </c>
      <c r="M508" s="940"/>
    </row>
    <row r="509" spans="1:13" ht="12.75">
      <c r="A509" s="935"/>
      <c r="B509" s="935"/>
      <c r="C509" s="936" t="s">
        <v>325</v>
      </c>
      <c r="D509" s="946" t="s">
        <v>16</v>
      </c>
      <c r="E509" s="951">
        <v>3400</v>
      </c>
      <c r="F509" s="955">
        <f t="shared" si="93"/>
        <v>0</v>
      </c>
      <c r="G509" s="949">
        <v>3400</v>
      </c>
      <c r="H509" s="958">
        <v>2728.34</v>
      </c>
      <c r="I509" s="941">
        <v>0</v>
      </c>
      <c r="J509" s="1250">
        <f t="shared" si="90"/>
        <v>0.8024529411764706</v>
      </c>
      <c r="K509" s="941">
        <v>0</v>
      </c>
      <c r="L509" s="941">
        <v>0</v>
      </c>
      <c r="M509" s="940"/>
    </row>
    <row r="510" spans="1:13" ht="22.5">
      <c r="A510" s="935"/>
      <c r="B510" s="935"/>
      <c r="C510" s="936" t="s">
        <v>598</v>
      </c>
      <c r="D510" s="946" t="s">
        <v>40</v>
      </c>
      <c r="E510" s="951">
        <v>35808</v>
      </c>
      <c r="F510" s="955">
        <f t="shared" si="93"/>
        <v>-585</v>
      </c>
      <c r="G510" s="949">
        <v>35223</v>
      </c>
      <c r="H510" s="958">
        <v>35223</v>
      </c>
      <c r="I510" s="941">
        <v>0</v>
      </c>
      <c r="J510" s="1250">
        <f t="shared" si="90"/>
        <v>1</v>
      </c>
      <c r="K510" s="941">
        <v>0</v>
      </c>
      <c r="L510" s="941">
        <v>0</v>
      </c>
      <c r="M510" s="940"/>
    </row>
    <row r="511" spans="1:13" ht="22.5">
      <c r="A511" s="932"/>
      <c r="B511" s="938" t="s">
        <v>511</v>
      </c>
      <c r="C511" s="933"/>
      <c r="D511" s="945" t="s">
        <v>83</v>
      </c>
      <c r="E511" s="950">
        <f>E512+E513</f>
        <v>23000</v>
      </c>
      <c r="F511" s="954">
        <f aca="true" t="shared" si="94" ref="F511:L511">F512+F513</f>
        <v>235835</v>
      </c>
      <c r="G511" s="947">
        <f t="shared" si="94"/>
        <v>258835</v>
      </c>
      <c r="H511" s="950">
        <f t="shared" si="94"/>
        <v>220404.5</v>
      </c>
      <c r="I511" s="954">
        <f t="shared" si="94"/>
        <v>0</v>
      </c>
      <c r="J511" s="959">
        <f t="shared" si="90"/>
        <v>0.8515251028647594</v>
      </c>
      <c r="K511" s="954">
        <f t="shared" si="94"/>
        <v>0</v>
      </c>
      <c r="L511" s="1439">
        <f t="shared" si="94"/>
        <v>0</v>
      </c>
      <c r="M511" s="940"/>
    </row>
    <row r="512" spans="1:13" ht="12.75">
      <c r="A512" s="935"/>
      <c r="B512" s="935"/>
      <c r="C512" s="936" t="s">
        <v>695</v>
      </c>
      <c r="D512" s="946" t="s">
        <v>84</v>
      </c>
      <c r="E512" s="951">
        <v>23000</v>
      </c>
      <c r="F512" s="955">
        <f>G512-E512</f>
        <v>234055</v>
      </c>
      <c r="G512" s="949">
        <v>257055</v>
      </c>
      <c r="H512" s="958">
        <v>218693.71</v>
      </c>
      <c r="I512" s="941">
        <v>0</v>
      </c>
      <c r="J512" s="1250">
        <f t="shared" si="90"/>
        <v>0.8507662173464823</v>
      </c>
      <c r="K512" s="941">
        <v>0</v>
      </c>
      <c r="L512" s="941">
        <v>0</v>
      </c>
      <c r="M512" s="940"/>
    </row>
    <row r="513" spans="1:13" ht="12.75">
      <c r="A513" s="935"/>
      <c r="B513" s="935"/>
      <c r="C513" s="936" t="s">
        <v>696</v>
      </c>
      <c r="D513" s="946" t="s">
        <v>697</v>
      </c>
      <c r="E513" s="951">
        <v>0</v>
      </c>
      <c r="F513" s="955">
        <f>G513-E513</f>
        <v>1780</v>
      </c>
      <c r="G513" s="949">
        <v>1780</v>
      </c>
      <c r="H513" s="958">
        <v>1710.79</v>
      </c>
      <c r="I513" s="941">
        <v>0</v>
      </c>
      <c r="J513" s="1250">
        <f t="shared" si="90"/>
        <v>0.9611179775280899</v>
      </c>
      <c r="K513" s="941">
        <v>0</v>
      </c>
      <c r="L513" s="941">
        <v>0</v>
      </c>
      <c r="M513" s="940"/>
    </row>
    <row r="514" spans="1:13" ht="22.5">
      <c r="A514" s="932"/>
      <c r="B514" s="938" t="s">
        <v>698</v>
      </c>
      <c r="C514" s="933"/>
      <c r="D514" s="945" t="s">
        <v>699</v>
      </c>
      <c r="E514" s="950">
        <f>E515+E516</f>
        <v>16800</v>
      </c>
      <c r="F514" s="954">
        <f aca="true" t="shared" si="95" ref="F514:L514">F515+F516</f>
        <v>-3600</v>
      </c>
      <c r="G514" s="947">
        <f t="shared" si="95"/>
        <v>13200</v>
      </c>
      <c r="H514" s="950">
        <f t="shared" si="95"/>
        <v>13200</v>
      </c>
      <c r="I514" s="954">
        <f t="shared" si="95"/>
        <v>0</v>
      </c>
      <c r="J514" s="959">
        <f t="shared" si="90"/>
        <v>1</v>
      </c>
      <c r="K514" s="954">
        <f t="shared" si="95"/>
        <v>0</v>
      </c>
      <c r="L514" s="1439">
        <f t="shared" si="95"/>
        <v>0</v>
      </c>
      <c r="M514" s="940"/>
    </row>
    <row r="515" spans="1:13" ht="12.75">
      <c r="A515" s="935"/>
      <c r="B515" s="935"/>
      <c r="C515" s="936" t="s">
        <v>695</v>
      </c>
      <c r="D515" s="946" t="s">
        <v>84</v>
      </c>
      <c r="E515" s="951">
        <v>16800</v>
      </c>
      <c r="F515" s="955">
        <f>G515-E515</f>
        <v>-3600</v>
      </c>
      <c r="G515" s="949" t="s">
        <v>700</v>
      </c>
      <c r="H515" s="958">
        <v>13200</v>
      </c>
      <c r="I515" s="941">
        <v>0</v>
      </c>
      <c r="J515" s="1250">
        <f t="shared" si="90"/>
        <v>1</v>
      </c>
      <c r="K515" s="941">
        <v>0</v>
      </c>
      <c r="L515" s="941">
        <v>0</v>
      </c>
      <c r="M515" s="940"/>
    </row>
    <row r="516" spans="1:13" ht="12.75">
      <c r="A516" s="935"/>
      <c r="B516" s="935"/>
      <c r="C516" s="936" t="s">
        <v>696</v>
      </c>
      <c r="D516" s="946" t="s">
        <v>697</v>
      </c>
      <c r="E516" s="951">
        <v>0</v>
      </c>
      <c r="F516" s="955">
        <f>G516-E516</f>
        <v>0</v>
      </c>
      <c r="G516" s="949" t="s">
        <v>370</v>
      </c>
      <c r="H516" s="958">
        <v>0</v>
      </c>
      <c r="I516" s="941">
        <v>0</v>
      </c>
      <c r="J516" s="1250">
        <v>0</v>
      </c>
      <c r="K516" s="941">
        <v>0</v>
      </c>
      <c r="L516" s="941">
        <v>0</v>
      </c>
      <c r="M516" s="940"/>
    </row>
    <row r="517" spans="1:13" ht="12.75">
      <c r="A517" s="965" t="s">
        <v>514</v>
      </c>
      <c r="B517" s="965"/>
      <c r="C517" s="965"/>
      <c r="D517" s="966" t="s">
        <v>47</v>
      </c>
      <c r="E517" s="967">
        <f>E518+E536+E552+E556+E568+E570+E572</f>
        <v>20183778.5</v>
      </c>
      <c r="F517" s="967">
        <f>F518+F536+F552+F556+F568+F570+F572</f>
        <v>6818542</v>
      </c>
      <c r="G517" s="967">
        <f>G518+G536+G552+G556+G568+G570+G572</f>
        <v>27002520.5</v>
      </c>
      <c r="H517" s="967">
        <f>H518+H536+H552+H556+H568+H570+H572</f>
        <v>26903868.230000004</v>
      </c>
      <c r="I517" s="967">
        <f>I518+I536+I552+I556+I568+I570+I572</f>
        <v>0</v>
      </c>
      <c r="J517" s="964">
        <f t="shared" si="90"/>
        <v>0.9963465532782395</v>
      </c>
      <c r="K517" s="963">
        <f>K518+K536+K552+K556+K568+K570+K572</f>
        <v>73634.25</v>
      </c>
      <c r="L517" s="963">
        <f>L518+L536+L552+L556+L568+L570+L572</f>
        <v>0</v>
      </c>
      <c r="M517" s="940"/>
    </row>
    <row r="518" spans="1:13" ht="15">
      <c r="A518" s="932"/>
      <c r="B518" s="938" t="s">
        <v>515</v>
      </c>
      <c r="C518" s="933"/>
      <c r="D518" s="945" t="s">
        <v>516</v>
      </c>
      <c r="E518" s="950">
        <f>E519+E520+E521+E522+E523+E524+E525+E526+E527+E528+E529+E530+E533+E534+E535+E531+E532</f>
        <v>11828801</v>
      </c>
      <c r="F518" s="950">
        <f>F519+F520+F521+F522+F523+F524+F525+F526+F527+F528+F529+F530+F533+F534+F535+F531+F532</f>
        <v>5796972</v>
      </c>
      <c r="G518" s="950">
        <f>G519+G520+G521+G522+G523+G524+G525+G526+G527+G528+G529+G530+G533+G534+G535+G531+G532</f>
        <v>17625773</v>
      </c>
      <c r="H518" s="950">
        <f>H519+H520+H521+H522+H523+H524+H525+H526+H527+H528+H529+H530+H533+H534+H535+H531+H532</f>
        <v>17568296.91</v>
      </c>
      <c r="I518" s="950">
        <f>I519+I520+I521+I522+I523+I524+I525+I526+I527+I528+I529+I530+I533+I534+I535+I531+I532</f>
        <v>0</v>
      </c>
      <c r="J518" s="959">
        <f t="shared" si="90"/>
        <v>0.9967390882658026</v>
      </c>
      <c r="K518" s="954">
        <f>K519+K520+K521+K522+K523+K524+K525+K526+K527+K528+K529+K530+K533+K534+K535</f>
        <v>23955.8</v>
      </c>
      <c r="L518" s="1439">
        <f>L519+L520+L521+L522+L523+L524+L525+L526+L527+L528+L529+L530+L533+L534+L535</f>
        <v>0</v>
      </c>
      <c r="M518" s="940"/>
    </row>
    <row r="519" spans="1:13" ht="78.75">
      <c r="A519" s="935"/>
      <c r="B519" s="935"/>
      <c r="C519" s="936" t="s">
        <v>497</v>
      </c>
      <c r="D519" s="946" t="s">
        <v>680</v>
      </c>
      <c r="E519" s="951">
        <v>40000</v>
      </c>
      <c r="F519" s="955">
        <f>G519-E519</f>
        <v>0</v>
      </c>
      <c r="G519" s="949">
        <v>40000</v>
      </c>
      <c r="H519" s="958">
        <v>17930.8</v>
      </c>
      <c r="I519" s="941">
        <v>0</v>
      </c>
      <c r="J519" s="1250">
        <f t="shared" si="90"/>
        <v>0.44827</v>
      </c>
      <c r="K519" s="941">
        <v>0</v>
      </c>
      <c r="L519" s="941">
        <v>0</v>
      </c>
      <c r="M519" s="940"/>
    </row>
    <row r="520" spans="1:13" ht="12.75">
      <c r="A520" s="935"/>
      <c r="B520" s="935"/>
      <c r="C520" s="936" t="s">
        <v>682</v>
      </c>
      <c r="D520" s="946" t="s">
        <v>50</v>
      </c>
      <c r="E520" s="951">
        <v>11610151</v>
      </c>
      <c r="F520" s="955">
        <f aca="true" t="shared" si="96" ref="F520:F535">G520-E520</f>
        <v>5736504.52</v>
      </c>
      <c r="G520" s="949">
        <v>17346655.52</v>
      </c>
      <c r="H520" s="958">
        <v>17325144.9</v>
      </c>
      <c r="I520" s="941">
        <v>0</v>
      </c>
      <c r="J520" s="1250">
        <f t="shared" si="90"/>
        <v>0.9987599557750368</v>
      </c>
      <c r="K520" s="941">
        <v>12428</v>
      </c>
      <c r="L520" s="941">
        <v>0</v>
      </c>
      <c r="M520" s="940"/>
    </row>
    <row r="521" spans="1:13" ht="22.5">
      <c r="A521" s="935"/>
      <c r="B521" s="935"/>
      <c r="C521" s="936" t="s">
        <v>543</v>
      </c>
      <c r="D521" s="946" t="s">
        <v>12</v>
      </c>
      <c r="E521" s="951">
        <v>100000</v>
      </c>
      <c r="F521" s="955">
        <f t="shared" si="96"/>
        <v>29000</v>
      </c>
      <c r="G521" s="949">
        <v>129000</v>
      </c>
      <c r="H521" s="958">
        <v>119881.82</v>
      </c>
      <c r="I521" s="941">
        <v>0</v>
      </c>
      <c r="J521" s="1250">
        <f t="shared" si="90"/>
        <v>0.9293164341085272</v>
      </c>
      <c r="K521" s="941">
        <v>0</v>
      </c>
      <c r="L521" s="941">
        <v>0</v>
      </c>
      <c r="M521" s="940"/>
    </row>
    <row r="522" spans="1:13" ht="12.75">
      <c r="A522" s="935"/>
      <c r="B522" s="935"/>
      <c r="C522" s="936" t="s">
        <v>578</v>
      </c>
      <c r="D522" s="946" t="s">
        <v>579</v>
      </c>
      <c r="E522" s="951">
        <v>9770</v>
      </c>
      <c r="F522" s="955">
        <f t="shared" si="96"/>
        <v>-103.46999999999935</v>
      </c>
      <c r="G522" s="949">
        <v>9666.53</v>
      </c>
      <c r="H522" s="958">
        <v>9666.53</v>
      </c>
      <c r="I522" s="941">
        <v>0</v>
      </c>
      <c r="J522" s="1250">
        <f t="shared" si="90"/>
        <v>1</v>
      </c>
      <c r="K522" s="941">
        <v>9632.98</v>
      </c>
      <c r="L522" s="941">
        <v>0</v>
      </c>
      <c r="M522" s="940"/>
    </row>
    <row r="523" spans="1:13" ht="12.75">
      <c r="A523" s="935"/>
      <c r="B523" s="935"/>
      <c r="C523" s="936" t="s">
        <v>333</v>
      </c>
      <c r="D523" s="946" t="s">
        <v>13</v>
      </c>
      <c r="E523" s="951">
        <v>19510</v>
      </c>
      <c r="F523" s="955">
        <f t="shared" si="96"/>
        <v>3690</v>
      </c>
      <c r="G523" s="949">
        <v>23200</v>
      </c>
      <c r="H523" s="958">
        <v>22175.88</v>
      </c>
      <c r="I523" s="941">
        <v>0</v>
      </c>
      <c r="J523" s="1250">
        <f t="shared" si="90"/>
        <v>0.9558568965517242</v>
      </c>
      <c r="K523" s="941">
        <v>1658.81</v>
      </c>
      <c r="L523" s="941">
        <v>0</v>
      </c>
      <c r="M523" s="940"/>
    </row>
    <row r="524" spans="1:13" ht="33.75">
      <c r="A524" s="935"/>
      <c r="B524" s="935"/>
      <c r="C524" s="936" t="s">
        <v>334</v>
      </c>
      <c r="D524" s="1266" t="s">
        <v>875</v>
      </c>
      <c r="E524" s="951">
        <v>3000</v>
      </c>
      <c r="F524" s="955">
        <f t="shared" si="96"/>
        <v>300</v>
      </c>
      <c r="G524" s="949">
        <v>3300</v>
      </c>
      <c r="H524" s="958">
        <v>2831.15</v>
      </c>
      <c r="I524" s="941">
        <v>0</v>
      </c>
      <c r="J524" s="1250">
        <f t="shared" si="90"/>
        <v>0.8579242424242425</v>
      </c>
      <c r="K524" s="941">
        <v>236.01</v>
      </c>
      <c r="L524" s="941">
        <v>0</v>
      </c>
      <c r="M524" s="940"/>
    </row>
    <row r="525" spans="1:13" ht="12.75">
      <c r="A525" s="935"/>
      <c r="B525" s="935"/>
      <c r="C525" s="936" t="s">
        <v>331</v>
      </c>
      <c r="D525" s="946" t="s">
        <v>28</v>
      </c>
      <c r="E525" s="951">
        <v>4000</v>
      </c>
      <c r="F525" s="955">
        <f t="shared" si="96"/>
        <v>3380.95</v>
      </c>
      <c r="G525" s="949">
        <v>7380.95</v>
      </c>
      <c r="H525" s="958">
        <v>7380.95</v>
      </c>
      <c r="I525" s="941">
        <v>0</v>
      </c>
      <c r="J525" s="1250">
        <f t="shared" si="90"/>
        <v>1</v>
      </c>
      <c r="K525" s="941">
        <v>0</v>
      </c>
      <c r="L525" s="941">
        <v>0</v>
      </c>
      <c r="M525" s="940"/>
    </row>
    <row r="526" spans="1:13" ht="12.75">
      <c r="A526" s="935"/>
      <c r="B526" s="935"/>
      <c r="C526" s="936" t="s">
        <v>324</v>
      </c>
      <c r="D526" s="946" t="s">
        <v>15</v>
      </c>
      <c r="E526" s="951">
        <v>13000</v>
      </c>
      <c r="F526" s="955">
        <f t="shared" si="96"/>
        <v>-1000</v>
      </c>
      <c r="G526" s="949">
        <v>12000</v>
      </c>
      <c r="H526" s="958">
        <v>12000</v>
      </c>
      <c r="I526" s="941">
        <v>0</v>
      </c>
      <c r="J526" s="1250">
        <f t="shared" si="90"/>
        <v>1</v>
      </c>
      <c r="K526" s="941">
        <v>0</v>
      </c>
      <c r="L526" s="941">
        <v>0</v>
      </c>
      <c r="M526" s="940"/>
    </row>
    <row r="527" spans="1:13" ht="12.75">
      <c r="A527" s="935"/>
      <c r="B527" s="935"/>
      <c r="C527" s="936" t="s">
        <v>546</v>
      </c>
      <c r="D527" s="946" t="s">
        <v>37</v>
      </c>
      <c r="E527" s="951">
        <v>3000</v>
      </c>
      <c r="F527" s="955">
        <f t="shared" si="96"/>
        <v>1000</v>
      </c>
      <c r="G527" s="949">
        <v>4000</v>
      </c>
      <c r="H527" s="958">
        <v>3364.78</v>
      </c>
      <c r="I527" s="941">
        <v>0</v>
      </c>
      <c r="J527" s="1250">
        <f t="shared" si="90"/>
        <v>0.841195</v>
      </c>
      <c r="K527" s="941">
        <v>0</v>
      </c>
      <c r="L527" s="941">
        <v>0</v>
      </c>
      <c r="M527" s="940"/>
    </row>
    <row r="528" spans="1:13" ht="12.75">
      <c r="A528" s="935"/>
      <c r="B528" s="935"/>
      <c r="C528" s="936" t="s">
        <v>325</v>
      </c>
      <c r="D528" s="946" t="s">
        <v>16</v>
      </c>
      <c r="E528" s="951">
        <v>20000</v>
      </c>
      <c r="F528" s="955">
        <f t="shared" si="96"/>
        <v>20000</v>
      </c>
      <c r="G528" s="949">
        <v>40000</v>
      </c>
      <c r="H528" s="958">
        <v>40000</v>
      </c>
      <c r="I528" s="941">
        <v>0</v>
      </c>
      <c r="J528" s="1250">
        <f t="shared" si="90"/>
        <v>1</v>
      </c>
      <c r="K528" s="941">
        <v>0</v>
      </c>
      <c r="L528" s="941">
        <v>0</v>
      </c>
      <c r="M528" s="940"/>
    </row>
    <row r="529" spans="1:13" ht="33.75">
      <c r="A529" s="935"/>
      <c r="B529" s="935"/>
      <c r="C529" s="936" t="s">
        <v>632</v>
      </c>
      <c r="D529" s="946" t="s">
        <v>633</v>
      </c>
      <c r="E529" s="951">
        <v>0</v>
      </c>
      <c r="F529" s="955">
        <f t="shared" si="96"/>
        <v>0</v>
      </c>
      <c r="G529" s="949" t="s">
        <v>370</v>
      </c>
      <c r="H529" s="958">
        <v>0</v>
      </c>
      <c r="I529" s="941">
        <v>0</v>
      </c>
      <c r="J529" s="1250">
        <v>0</v>
      </c>
      <c r="K529" s="941">
        <v>0</v>
      </c>
      <c r="L529" s="941">
        <v>0</v>
      </c>
      <c r="M529" s="940"/>
    </row>
    <row r="530" spans="1:13" ht="22.5">
      <c r="A530" s="935"/>
      <c r="B530" s="935"/>
      <c r="C530" s="936" t="s">
        <v>335</v>
      </c>
      <c r="D530" s="946" t="s">
        <v>553</v>
      </c>
      <c r="E530" s="951">
        <v>0</v>
      </c>
      <c r="F530" s="955">
        <f t="shared" si="96"/>
        <v>0</v>
      </c>
      <c r="G530" s="949">
        <v>0</v>
      </c>
      <c r="H530" s="958">
        <v>0</v>
      </c>
      <c r="I530" s="941">
        <v>0</v>
      </c>
      <c r="J530" s="1250">
        <v>0</v>
      </c>
      <c r="K530" s="941">
        <v>0</v>
      </c>
      <c r="L530" s="941">
        <v>0</v>
      </c>
      <c r="M530" s="940"/>
    </row>
    <row r="531" spans="1:13" ht="12.75">
      <c r="A531" s="935"/>
      <c r="B531" s="935"/>
      <c r="C531" s="984" t="s">
        <v>595</v>
      </c>
      <c r="D531" s="946"/>
      <c r="E531" s="951">
        <v>0</v>
      </c>
      <c r="F531" s="955">
        <f t="shared" si="96"/>
        <v>2000</v>
      </c>
      <c r="G531" s="949">
        <v>2000</v>
      </c>
      <c r="H531" s="958">
        <v>2000</v>
      </c>
      <c r="I531" s="941">
        <v>0</v>
      </c>
      <c r="J531" s="1250">
        <f>H531/G531</f>
        <v>1</v>
      </c>
      <c r="K531" s="941">
        <v>0</v>
      </c>
      <c r="L531" s="941">
        <v>0</v>
      </c>
      <c r="M531" s="940"/>
    </row>
    <row r="532" spans="1:13" ht="12.75">
      <c r="A532" s="935"/>
      <c r="B532" s="935"/>
      <c r="C532" s="984" t="s">
        <v>544</v>
      </c>
      <c r="D532" s="946"/>
      <c r="E532" s="951">
        <v>0</v>
      </c>
      <c r="F532" s="955">
        <f t="shared" si="96"/>
        <v>200</v>
      </c>
      <c r="G532" s="949">
        <v>200</v>
      </c>
      <c r="H532" s="958">
        <v>22.94</v>
      </c>
      <c r="I532" s="941"/>
      <c r="J532" s="1250"/>
      <c r="K532" s="941"/>
      <c r="L532" s="941"/>
      <c r="M532" s="940"/>
    </row>
    <row r="533" spans="1:13" ht="22.5">
      <c r="A533" s="935"/>
      <c r="B533" s="935"/>
      <c r="C533" s="936" t="s">
        <v>598</v>
      </c>
      <c r="D533" s="946" t="s">
        <v>40</v>
      </c>
      <c r="E533" s="951">
        <v>2370</v>
      </c>
      <c r="F533" s="955">
        <f t="shared" si="96"/>
        <v>0</v>
      </c>
      <c r="G533" s="949" t="s">
        <v>701</v>
      </c>
      <c r="H533" s="958">
        <v>2370</v>
      </c>
      <c r="I533" s="941">
        <v>0</v>
      </c>
      <c r="J533" s="1250">
        <f t="shared" si="90"/>
        <v>1</v>
      </c>
      <c r="K533" s="941">
        <v>0</v>
      </c>
      <c r="L533" s="941">
        <v>0</v>
      </c>
      <c r="M533" s="940"/>
    </row>
    <row r="534" spans="1:13" ht="78.75">
      <c r="A534" s="935"/>
      <c r="B534" s="935"/>
      <c r="C534" s="936" t="s">
        <v>702</v>
      </c>
      <c r="D534" s="946" t="s">
        <v>703</v>
      </c>
      <c r="E534" s="951">
        <v>2000</v>
      </c>
      <c r="F534" s="955">
        <f t="shared" si="96"/>
        <v>1000</v>
      </c>
      <c r="G534" s="949">
        <v>3000</v>
      </c>
      <c r="H534" s="958">
        <v>2033.85</v>
      </c>
      <c r="I534" s="941">
        <v>0</v>
      </c>
      <c r="J534" s="1250">
        <f t="shared" si="90"/>
        <v>0.6779499999999999</v>
      </c>
      <c r="K534" s="941">
        <v>0</v>
      </c>
      <c r="L534" s="941">
        <v>0</v>
      </c>
      <c r="M534" s="940"/>
    </row>
    <row r="535" spans="1:13" ht="22.5">
      <c r="A535" s="935"/>
      <c r="B535" s="935"/>
      <c r="C535" s="936" t="s">
        <v>580</v>
      </c>
      <c r="D535" s="946" t="s">
        <v>581</v>
      </c>
      <c r="E535" s="951">
        <v>2000</v>
      </c>
      <c r="F535" s="955">
        <f t="shared" si="96"/>
        <v>1000</v>
      </c>
      <c r="G535" s="949">
        <v>3000</v>
      </c>
      <c r="H535" s="958">
        <v>1493.31</v>
      </c>
      <c r="I535" s="941">
        <v>0</v>
      </c>
      <c r="J535" s="1250">
        <f t="shared" si="90"/>
        <v>0.49777</v>
      </c>
      <c r="K535" s="941">
        <v>0</v>
      </c>
      <c r="L535" s="941">
        <v>0</v>
      </c>
      <c r="M535" s="940"/>
    </row>
    <row r="536" spans="1:13" ht="56.25">
      <c r="A536" s="932"/>
      <c r="B536" s="938" t="s">
        <v>521</v>
      </c>
      <c r="C536" s="933"/>
      <c r="D536" s="945" t="s">
        <v>522</v>
      </c>
      <c r="E536" s="950">
        <f>E537+E538+E539+E540+E541+E542+E544+E545+E546+E547+E549+E550+E551+E543+E548</f>
        <v>7792821.5</v>
      </c>
      <c r="F536" s="950">
        <f>F537+F538+F539+F540+F541+F542+F544+F545+F546+F547+F549+F550+F551+F543+F548</f>
        <v>243423</v>
      </c>
      <c r="G536" s="950">
        <f>G537+G538+G539+G540+G541+G542+G544+G545+G546+G547+G549+G550+G551+G543+G548</f>
        <v>8036444.5</v>
      </c>
      <c r="H536" s="950">
        <f>H537+H538+H539+H540+H541+H542+H544+H545+H546+H547+H549+H550+H551+H543+H548</f>
        <v>8004131.17</v>
      </c>
      <c r="I536" s="950">
        <f>I537+I538+I539+I540+I541+I542+I544+I545+I546+I547+I549+I550+I551+I543+I548</f>
        <v>0</v>
      </c>
      <c r="J536" s="959">
        <f t="shared" si="90"/>
        <v>0.9959791509790181</v>
      </c>
      <c r="K536" s="954">
        <f>K537+K538+K539+K540+K541+K542+K544+K545+K546+K547+K549+K550+K551</f>
        <v>35660.71</v>
      </c>
      <c r="L536" s="1439">
        <f>L537+L538+L539+L540+L541+L542+L544+L545+L546+L547+L549+L550+L551</f>
        <v>0</v>
      </c>
      <c r="M536" s="940"/>
    </row>
    <row r="537" spans="1:13" ht="78.75">
      <c r="A537" s="935"/>
      <c r="B537" s="935"/>
      <c r="C537" s="936" t="s">
        <v>497</v>
      </c>
      <c r="D537" s="946" t="s">
        <v>680</v>
      </c>
      <c r="E537" s="951">
        <v>40000</v>
      </c>
      <c r="F537" s="955">
        <f>G537-E537</f>
        <v>0</v>
      </c>
      <c r="G537" s="949">
        <v>40000</v>
      </c>
      <c r="H537" s="958">
        <v>33018.38</v>
      </c>
      <c r="I537" s="941">
        <v>0</v>
      </c>
      <c r="J537" s="1250">
        <f t="shared" si="90"/>
        <v>0.8254594999999999</v>
      </c>
      <c r="K537" s="941">
        <v>0</v>
      </c>
      <c r="L537" s="941">
        <v>0</v>
      </c>
      <c r="M537" s="940"/>
    </row>
    <row r="538" spans="1:13" ht="12.75">
      <c r="A538" s="935"/>
      <c r="B538" s="935"/>
      <c r="C538" s="936" t="s">
        <v>682</v>
      </c>
      <c r="D538" s="946" t="s">
        <v>50</v>
      </c>
      <c r="E538" s="951">
        <v>7219046</v>
      </c>
      <c r="F538" s="955">
        <f aca="true" t="shared" si="97" ref="F538:F551">G538-E538</f>
        <v>144053</v>
      </c>
      <c r="G538" s="949">
        <v>7363099</v>
      </c>
      <c r="H538" s="958">
        <v>7342957.91</v>
      </c>
      <c r="I538" s="941">
        <v>0</v>
      </c>
      <c r="J538" s="1250">
        <f t="shared" si="90"/>
        <v>0.9972645906295705</v>
      </c>
      <c r="K538" s="941">
        <v>16492.78</v>
      </c>
      <c r="L538" s="941">
        <v>0</v>
      </c>
      <c r="M538" s="940"/>
    </row>
    <row r="539" spans="1:13" ht="22.5">
      <c r="A539" s="935"/>
      <c r="B539" s="935"/>
      <c r="C539" s="936" t="s">
        <v>543</v>
      </c>
      <c r="D539" s="946" t="s">
        <v>12</v>
      </c>
      <c r="E539" s="951">
        <v>155000</v>
      </c>
      <c r="F539" s="955">
        <f t="shared" si="97"/>
        <v>7000</v>
      </c>
      <c r="G539" s="949">
        <v>162000</v>
      </c>
      <c r="H539" s="958">
        <v>160110.41</v>
      </c>
      <c r="I539" s="941">
        <v>0</v>
      </c>
      <c r="J539" s="1250">
        <f t="shared" si="90"/>
        <v>0.9883358641975308</v>
      </c>
      <c r="K539" s="941">
        <v>0</v>
      </c>
      <c r="L539" s="941">
        <v>0</v>
      </c>
      <c r="M539" s="940"/>
    </row>
    <row r="540" spans="1:13" ht="12.75">
      <c r="A540" s="935"/>
      <c r="B540" s="935"/>
      <c r="C540" s="936" t="s">
        <v>578</v>
      </c>
      <c r="D540" s="946" t="s">
        <v>579</v>
      </c>
      <c r="E540" s="951">
        <v>15100</v>
      </c>
      <c r="F540" s="955">
        <f t="shared" si="97"/>
        <v>0</v>
      </c>
      <c r="G540" s="949">
        <v>15100</v>
      </c>
      <c r="H540" s="958">
        <v>15055.01</v>
      </c>
      <c r="I540" s="941">
        <v>0</v>
      </c>
      <c r="J540" s="1250">
        <f t="shared" si="90"/>
        <v>0.9970205298013245</v>
      </c>
      <c r="K540" s="941">
        <v>15936.96</v>
      </c>
      <c r="L540" s="941">
        <v>0</v>
      </c>
      <c r="M540" s="940"/>
    </row>
    <row r="541" spans="1:13" ht="12.75">
      <c r="A541" s="935"/>
      <c r="B541" s="935"/>
      <c r="C541" s="936" t="s">
        <v>333</v>
      </c>
      <c r="D541" s="946" t="s">
        <v>13</v>
      </c>
      <c r="E541" s="951">
        <v>279953</v>
      </c>
      <c r="F541" s="955">
        <f t="shared" si="97"/>
        <v>90000</v>
      </c>
      <c r="G541" s="949">
        <v>369953</v>
      </c>
      <c r="H541" s="958">
        <v>368496.2</v>
      </c>
      <c r="I541" s="941">
        <v>0</v>
      </c>
      <c r="J541" s="1250">
        <f t="shared" si="90"/>
        <v>0.9960622024959928</v>
      </c>
      <c r="K541" s="941">
        <v>2744.35</v>
      </c>
      <c r="L541" s="941">
        <v>0</v>
      </c>
      <c r="M541" s="940"/>
    </row>
    <row r="542" spans="1:13" ht="33.75">
      <c r="A542" s="935"/>
      <c r="B542" s="935"/>
      <c r="C542" s="936" t="s">
        <v>334</v>
      </c>
      <c r="D542" s="1266" t="s">
        <v>875</v>
      </c>
      <c r="E542" s="951">
        <v>4167.5</v>
      </c>
      <c r="F542" s="955">
        <f t="shared" si="97"/>
        <v>0</v>
      </c>
      <c r="G542" s="949">
        <v>4167.5</v>
      </c>
      <c r="H542" s="958">
        <v>3687.89</v>
      </c>
      <c r="I542" s="941">
        <v>0</v>
      </c>
      <c r="J542" s="1250">
        <f t="shared" si="90"/>
        <v>0.8849166166766647</v>
      </c>
      <c r="K542" s="941">
        <v>295.69</v>
      </c>
      <c r="L542" s="941">
        <v>0</v>
      </c>
      <c r="M542" s="940"/>
    </row>
    <row r="543" spans="1:13" ht="12.75">
      <c r="A543" s="935"/>
      <c r="B543" s="935"/>
      <c r="C543" s="984" t="s">
        <v>331</v>
      </c>
      <c r="D543" s="1266"/>
      <c r="E543" s="951">
        <v>10000</v>
      </c>
      <c r="F543" s="955">
        <f t="shared" si="97"/>
        <v>-1930</v>
      </c>
      <c r="G543" s="949">
        <v>8070</v>
      </c>
      <c r="H543" s="958">
        <v>8070</v>
      </c>
      <c r="I543" s="941">
        <v>0</v>
      </c>
      <c r="J543" s="1250">
        <f t="shared" si="90"/>
        <v>1</v>
      </c>
      <c r="K543" s="941">
        <v>0</v>
      </c>
      <c r="L543" s="941">
        <v>0</v>
      </c>
      <c r="M543" s="940"/>
    </row>
    <row r="544" spans="1:13" ht="12.75">
      <c r="A544" s="935"/>
      <c r="B544" s="935"/>
      <c r="C544" s="936" t="s">
        <v>324</v>
      </c>
      <c r="D544" s="946" t="s">
        <v>15</v>
      </c>
      <c r="E544" s="951">
        <v>13000</v>
      </c>
      <c r="F544" s="955">
        <f t="shared" si="97"/>
        <v>-200</v>
      </c>
      <c r="G544" s="949">
        <v>12800</v>
      </c>
      <c r="H544" s="958">
        <v>12800</v>
      </c>
      <c r="I544" s="941">
        <v>0</v>
      </c>
      <c r="J544" s="1250">
        <f t="shared" si="90"/>
        <v>1</v>
      </c>
      <c r="K544" s="941">
        <v>0</v>
      </c>
      <c r="L544" s="941">
        <v>0</v>
      </c>
      <c r="M544" s="940"/>
    </row>
    <row r="545" spans="1:13" ht="12.75">
      <c r="A545" s="935"/>
      <c r="B545" s="935"/>
      <c r="C545" s="936" t="s">
        <v>546</v>
      </c>
      <c r="D545" s="946" t="s">
        <v>37</v>
      </c>
      <c r="E545" s="951">
        <v>4000</v>
      </c>
      <c r="F545" s="955">
        <f t="shared" si="97"/>
        <v>0</v>
      </c>
      <c r="G545" s="949">
        <v>4000</v>
      </c>
      <c r="H545" s="958">
        <v>3520.78</v>
      </c>
      <c r="I545" s="941">
        <v>0</v>
      </c>
      <c r="J545" s="1250">
        <f t="shared" si="90"/>
        <v>0.8801950000000001</v>
      </c>
      <c r="K545" s="941">
        <v>0</v>
      </c>
      <c r="L545" s="941">
        <v>0</v>
      </c>
      <c r="M545" s="940"/>
    </row>
    <row r="546" spans="1:13" ht="12.75">
      <c r="A546" s="935"/>
      <c r="B546" s="935"/>
      <c r="C546" s="936" t="s">
        <v>325</v>
      </c>
      <c r="D546" s="946" t="s">
        <v>16</v>
      </c>
      <c r="E546" s="951">
        <v>39000</v>
      </c>
      <c r="F546" s="955">
        <f t="shared" si="97"/>
        <v>4000</v>
      </c>
      <c r="G546" s="949">
        <v>43000</v>
      </c>
      <c r="H546" s="958">
        <v>43000</v>
      </c>
      <c r="I546" s="941">
        <v>0</v>
      </c>
      <c r="J546" s="1250">
        <f t="shared" si="90"/>
        <v>1</v>
      </c>
      <c r="K546" s="941">
        <v>0</v>
      </c>
      <c r="L546" s="941">
        <v>0</v>
      </c>
      <c r="M546" s="940"/>
    </row>
    <row r="547" spans="1:13" ht="22.5">
      <c r="A547" s="935"/>
      <c r="B547" s="935"/>
      <c r="C547" s="936" t="s">
        <v>335</v>
      </c>
      <c r="D547" s="946" t="s">
        <v>553</v>
      </c>
      <c r="E547" s="951">
        <v>1000</v>
      </c>
      <c r="F547" s="955">
        <f t="shared" si="97"/>
        <v>0</v>
      </c>
      <c r="G547" s="949" t="s">
        <v>404</v>
      </c>
      <c r="H547" s="958">
        <v>568.26</v>
      </c>
      <c r="I547" s="941">
        <v>0</v>
      </c>
      <c r="J547" s="1250">
        <f t="shared" si="90"/>
        <v>0.56826</v>
      </c>
      <c r="K547" s="941">
        <v>190.93</v>
      </c>
      <c r="L547" s="941">
        <v>0</v>
      </c>
      <c r="M547" s="940"/>
    </row>
    <row r="548" spans="1:13" ht="12.75">
      <c r="A548" s="935"/>
      <c r="B548" s="935"/>
      <c r="C548" s="984" t="s">
        <v>544</v>
      </c>
      <c r="D548" s="946"/>
      <c r="E548" s="951">
        <v>0</v>
      </c>
      <c r="F548" s="955"/>
      <c r="G548" s="949">
        <v>200</v>
      </c>
      <c r="H548" s="958">
        <v>18.95</v>
      </c>
      <c r="I548" s="941">
        <v>0</v>
      </c>
      <c r="J548" s="1250"/>
      <c r="K548" s="941">
        <v>0</v>
      </c>
      <c r="L548" s="941">
        <v>0</v>
      </c>
      <c r="M548" s="940"/>
    </row>
    <row r="549" spans="1:13" ht="22.5">
      <c r="A549" s="935"/>
      <c r="B549" s="935"/>
      <c r="C549" s="936" t="s">
        <v>598</v>
      </c>
      <c r="D549" s="946" t="s">
        <v>40</v>
      </c>
      <c r="E549" s="951">
        <v>4555</v>
      </c>
      <c r="F549" s="955">
        <f t="shared" si="97"/>
        <v>0</v>
      </c>
      <c r="G549" s="949">
        <v>4555</v>
      </c>
      <c r="H549" s="958">
        <v>4555</v>
      </c>
      <c r="I549" s="941">
        <v>0</v>
      </c>
      <c r="J549" s="1250">
        <f t="shared" si="90"/>
        <v>1</v>
      </c>
      <c r="K549" s="941">
        <v>0</v>
      </c>
      <c r="L549" s="941">
        <v>0</v>
      </c>
      <c r="M549" s="940"/>
    </row>
    <row r="550" spans="1:13" ht="78.75">
      <c r="A550" s="935"/>
      <c r="B550" s="935"/>
      <c r="C550" s="936" t="s">
        <v>702</v>
      </c>
      <c r="D550" s="946" t="s">
        <v>703</v>
      </c>
      <c r="E550" s="951">
        <v>5000</v>
      </c>
      <c r="F550" s="955">
        <f t="shared" si="97"/>
        <v>500</v>
      </c>
      <c r="G550" s="949">
        <v>5500</v>
      </c>
      <c r="H550" s="958">
        <v>5387.59</v>
      </c>
      <c r="I550" s="941">
        <v>0</v>
      </c>
      <c r="J550" s="1250">
        <f t="shared" si="90"/>
        <v>0.9795618181818182</v>
      </c>
      <c r="K550" s="941">
        <v>0</v>
      </c>
      <c r="L550" s="941">
        <v>0</v>
      </c>
      <c r="M550" s="940"/>
    </row>
    <row r="551" spans="1:13" ht="22.5">
      <c r="A551" s="935"/>
      <c r="B551" s="935"/>
      <c r="C551" s="936" t="s">
        <v>580</v>
      </c>
      <c r="D551" s="946" t="s">
        <v>581</v>
      </c>
      <c r="E551" s="951">
        <v>3000</v>
      </c>
      <c r="F551" s="955">
        <f t="shared" si="97"/>
        <v>0</v>
      </c>
      <c r="G551" s="949">
        <v>3000</v>
      </c>
      <c r="H551" s="958">
        <v>2884.79</v>
      </c>
      <c r="I551" s="941">
        <v>0</v>
      </c>
      <c r="J551" s="1250">
        <f aca="true" t="shared" si="98" ref="J551:J618">H551/G551</f>
        <v>0.9615966666666667</v>
      </c>
      <c r="K551" s="941">
        <v>0</v>
      </c>
      <c r="L551" s="941">
        <v>0</v>
      </c>
      <c r="M551" s="940"/>
    </row>
    <row r="552" spans="1:13" ht="15">
      <c r="A552" s="932"/>
      <c r="B552" s="938" t="s">
        <v>524</v>
      </c>
      <c r="C552" s="933"/>
      <c r="D552" s="945" t="s">
        <v>53</v>
      </c>
      <c r="E552" s="950">
        <f>E553+E554+E555</f>
        <v>0</v>
      </c>
      <c r="F552" s="954">
        <f aca="true" t="shared" si="99" ref="F552:L552">F553+F554+F555</f>
        <v>1150</v>
      </c>
      <c r="G552" s="947">
        <f t="shared" si="99"/>
        <v>1150</v>
      </c>
      <c r="H552" s="950">
        <f t="shared" si="99"/>
        <v>1113.71</v>
      </c>
      <c r="I552" s="954">
        <f t="shared" si="99"/>
        <v>0</v>
      </c>
      <c r="J552" s="959">
        <f t="shared" si="98"/>
        <v>0.9684434782608696</v>
      </c>
      <c r="K552" s="954">
        <f t="shared" si="99"/>
        <v>0</v>
      </c>
      <c r="L552" s="1439">
        <f t="shared" si="99"/>
        <v>0</v>
      </c>
      <c r="M552" s="940"/>
    </row>
    <row r="553" spans="1:13" ht="22.5">
      <c r="A553" s="935"/>
      <c r="B553" s="935"/>
      <c r="C553" s="936" t="s">
        <v>543</v>
      </c>
      <c r="D553" s="946" t="s">
        <v>12</v>
      </c>
      <c r="E553" s="951">
        <v>0</v>
      </c>
      <c r="F553" s="955">
        <f>G553-E553</f>
        <v>960.98</v>
      </c>
      <c r="G553" s="949">
        <v>960.98</v>
      </c>
      <c r="H553" s="958">
        <v>930.65</v>
      </c>
      <c r="I553" s="941">
        <v>0</v>
      </c>
      <c r="J553" s="1250">
        <f t="shared" si="98"/>
        <v>0.9684384690628316</v>
      </c>
      <c r="K553" s="941">
        <v>0</v>
      </c>
      <c r="L553" s="941">
        <v>0</v>
      </c>
      <c r="M553" s="940"/>
    </row>
    <row r="554" spans="1:13" ht="12.75">
      <c r="A554" s="935"/>
      <c r="B554" s="935"/>
      <c r="C554" s="936" t="s">
        <v>333</v>
      </c>
      <c r="D554" s="946" t="s">
        <v>13</v>
      </c>
      <c r="E554" s="951">
        <v>0</v>
      </c>
      <c r="F554" s="955">
        <f>G554-E554</f>
        <v>165.48</v>
      </c>
      <c r="G554" s="949">
        <v>165.48</v>
      </c>
      <c r="H554" s="958">
        <v>160.25</v>
      </c>
      <c r="I554" s="941">
        <v>0</v>
      </c>
      <c r="J554" s="1250">
        <f t="shared" si="98"/>
        <v>0.9683949722020788</v>
      </c>
      <c r="K554" s="941">
        <v>0</v>
      </c>
      <c r="L554" s="941">
        <v>0</v>
      </c>
      <c r="M554" s="940"/>
    </row>
    <row r="555" spans="1:13" ht="12.75">
      <c r="A555" s="935"/>
      <c r="B555" s="935"/>
      <c r="C555" s="936" t="s">
        <v>334</v>
      </c>
      <c r="D555" s="946" t="s">
        <v>14</v>
      </c>
      <c r="E555" s="951">
        <v>0</v>
      </c>
      <c r="F555" s="955">
        <f>G555-E555</f>
        <v>23.54</v>
      </c>
      <c r="G555" s="949">
        <v>23.54</v>
      </c>
      <c r="H555" s="958">
        <v>22.81</v>
      </c>
      <c r="I555" s="941">
        <v>0</v>
      </c>
      <c r="J555" s="1250">
        <f t="shared" si="98"/>
        <v>0.9689889549702634</v>
      </c>
      <c r="K555" s="941">
        <v>0</v>
      </c>
      <c r="L555" s="941">
        <v>0</v>
      </c>
      <c r="M555" s="940"/>
    </row>
    <row r="556" spans="1:13" ht="15">
      <c r="A556" s="932"/>
      <c r="B556" s="938" t="s">
        <v>525</v>
      </c>
      <c r="C556" s="933"/>
      <c r="D556" s="945" t="s">
        <v>54</v>
      </c>
      <c r="E556" s="950">
        <f>E557+E558+E559+E560+E561+E562+E563+E564+E565+E566+E567</f>
        <v>150757</v>
      </c>
      <c r="F556" s="954">
        <f aca="true" t="shared" si="100" ref="F556:L556">F557+F558+F559+F560+F561+F562+F563+F564+F565+F566+F567</f>
        <v>783797</v>
      </c>
      <c r="G556" s="947">
        <f t="shared" si="100"/>
        <v>934554</v>
      </c>
      <c r="H556" s="950">
        <f t="shared" si="100"/>
        <v>932878.8699999999</v>
      </c>
      <c r="I556" s="954">
        <f t="shared" si="100"/>
        <v>0</v>
      </c>
      <c r="J556" s="959">
        <f t="shared" si="98"/>
        <v>0.9982075621098405</v>
      </c>
      <c r="K556" s="954">
        <f t="shared" si="100"/>
        <v>10379.14</v>
      </c>
      <c r="L556" s="1439">
        <f t="shared" si="100"/>
        <v>0</v>
      </c>
      <c r="M556" s="940"/>
    </row>
    <row r="557" spans="1:13" ht="22.5">
      <c r="A557" s="935"/>
      <c r="B557" s="935"/>
      <c r="C557" s="936" t="s">
        <v>576</v>
      </c>
      <c r="D557" s="946" t="s">
        <v>577</v>
      </c>
      <c r="E557" s="951">
        <v>1500</v>
      </c>
      <c r="F557" s="955">
        <f>G557-E557</f>
        <v>0</v>
      </c>
      <c r="G557" s="949">
        <v>1500</v>
      </c>
      <c r="H557" s="958">
        <v>1284.91</v>
      </c>
      <c r="I557" s="941">
        <v>0</v>
      </c>
      <c r="J557" s="1250">
        <f t="shared" si="98"/>
        <v>0.8566066666666667</v>
      </c>
      <c r="K557" s="941">
        <v>0</v>
      </c>
      <c r="L557" s="941">
        <v>0</v>
      </c>
      <c r="M557" s="940"/>
    </row>
    <row r="558" spans="1:13" ht="12.75">
      <c r="A558" s="935"/>
      <c r="B558" s="935"/>
      <c r="C558" s="936" t="s">
        <v>682</v>
      </c>
      <c r="D558" s="946" t="s">
        <v>50</v>
      </c>
      <c r="E558" s="951">
        <v>0</v>
      </c>
      <c r="F558" s="955">
        <f aca="true" t="shared" si="101" ref="F558:F567">G558-E558</f>
        <v>754050</v>
      </c>
      <c r="G558" s="949">
        <v>754050</v>
      </c>
      <c r="H558" s="958">
        <v>753600</v>
      </c>
      <c r="I558" s="941">
        <v>0</v>
      </c>
      <c r="J558" s="1250">
        <f t="shared" si="98"/>
        <v>0.999403222597971</v>
      </c>
      <c r="K558" s="941">
        <v>0</v>
      </c>
      <c r="L558" s="941">
        <v>0</v>
      </c>
      <c r="M558" s="940"/>
    </row>
    <row r="559" spans="1:13" ht="22.5">
      <c r="A559" s="935"/>
      <c r="B559" s="935"/>
      <c r="C559" s="936" t="s">
        <v>543</v>
      </c>
      <c r="D559" s="946" t="s">
        <v>12</v>
      </c>
      <c r="E559" s="951">
        <v>103980</v>
      </c>
      <c r="F559" s="955">
        <f t="shared" si="101"/>
        <v>24770.14</v>
      </c>
      <c r="G559" s="949">
        <v>128750.14</v>
      </c>
      <c r="H559" s="958">
        <v>128621.81</v>
      </c>
      <c r="I559" s="941">
        <v>0</v>
      </c>
      <c r="J559" s="1250">
        <f t="shared" si="98"/>
        <v>0.9990032632197526</v>
      </c>
      <c r="K559" s="941">
        <v>0</v>
      </c>
      <c r="L559" s="941">
        <v>0</v>
      </c>
      <c r="M559" s="940"/>
    </row>
    <row r="560" spans="1:13" ht="12.75">
      <c r="A560" s="935"/>
      <c r="B560" s="935"/>
      <c r="C560" s="936" t="s">
        <v>578</v>
      </c>
      <c r="D560" s="946" t="s">
        <v>579</v>
      </c>
      <c r="E560" s="951">
        <v>8700</v>
      </c>
      <c r="F560" s="955">
        <f t="shared" si="101"/>
        <v>-449.1399999999994</v>
      </c>
      <c r="G560" s="949">
        <v>8250.86</v>
      </c>
      <c r="H560" s="958">
        <v>8250.86</v>
      </c>
      <c r="I560" s="941">
        <v>0</v>
      </c>
      <c r="J560" s="1250">
        <f t="shared" si="98"/>
        <v>1</v>
      </c>
      <c r="K560" s="941">
        <v>8670</v>
      </c>
      <c r="L560" s="941">
        <v>0</v>
      </c>
      <c r="M560" s="940"/>
    </row>
    <row r="561" spans="1:13" ht="12.75">
      <c r="A561" s="935"/>
      <c r="B561" s="935"/>
      <c r="C561" s="936" t="s">
        <v>333</v>
      </c>
      <c r="D561" s="946" t="s">
        <v>13</v>
      </c>
      <c r="E561" s="951">
        <v>19150</v>
      </c>
      <c r="F561" s="955">
        <f t="shared" si="101"/>
        <v>3222</v>
      </c>
      <c r="G561" s="949">
        <v>22372</v>
      </c>
      <c r="H561" s="958">
        <v>22367.71</v>
      </c>
      <c r="I561" s="941">
        <v>0</v>
      </c>
      <c r="J561" s="1250">
        <f t="shared" si="98"/>
        <v>0.9998082424459145</v>
      </c>
      <c r="K561" s="941">
        <v>1496.26</v>
      </c>
      <c r="L561" s="941">
        <v>0</v>
      </c>
      <c r="M561" s="940"/>
    </row>
    <row r="562" spans="1:13" ht="33.75">
      <c r="A562" s="935"/>
      <c r="B562" s="935"/>
      <c r="C562" s="936" t="s">
        <v>334</v>
      </c>
      <c r="D562" s="1266" t="s">
        <v>875</v>
      </c>
      <c r="E562" s="951">
        <v>2687</v>
      </c>
      <c r="F562" s="955">
        <f t="shared" si="101"/>
        <v>450.4000000000001</v>
      </c>
      <c r="G562" s="949">
        <v>3137.4</v>
      </c>
      <c r="H562" s="958">
        <v>2972.9</v>
      </c>
      <c r="I562" s="941">
        <v>0</v>
      </c>
      <c r="J562" s="1250">
        <f t="shared" si="98"/>
        <v>0.9475680499776885</v>
      </c>
      <c r="K562" s="941">
        <v>212.88</v>
      </c>
      <c r="L562" s="941">
        <v>0</v>
      </c>
      <c r="M562" s="940"/>
    </row>
    <row r="563" spans="1:13" ht="12.75">
      <c r="A563" s="935"/>
      <c r="B563" s="935"/>
      <c r="C563" s="936" t="s">
        <v>324</v>
      </c>
      <c r="D563" s="946" t="s">
        <v>15</v>
      </c>
      <c r="E563" s="951">
        <v>3000</v>
      </c>
      <c r="F563" s="955">
        <f t="shared" si="101"/>
        <v>0</v>
      </c>
      <c r="G563" s="949" t="s">
        <v>603</v>
      </c>
      <c r="H563" s="958">
        <v>2426.7</v>
      </c>
      <c r="I563" s="941">
        <v>0</v>
      </c>
      <c r="J563" s="1250">
        <f t="shared" si="98"/>
        <v>0.8089</v>
      </c>
      <c r="K563" s="941">
        <v>0</v>
      </c>
      <c r="L563" s="941">
        <v>0</v>
      </c>
      <c r="M563" s="940"/>
    </row>
    <row r="564" spans="1:13" ht="12.75">
      <c r="A564" s="935"/>
      <c r="B564" s="935"/>
      <c r="C564" s="936" t="s">
        <v>325</v>
      </c>
      <c r="D564" s="946" t="s">
        <v>16</v>
      </c>
      <c r="E564" s="951">
        <v>0</v>
      </c>
      <c r="F564" s="955">
        <f t="shared" si="101"/>
        <v>1753.6</v>
      </c>
      <c r="G564" s="949">
        <v>1753.6</v>
      </c>
      <c r="H564" s="958">
        <v>1753.6</v>
      </c>
      <c r="I564" s="941">
        <v>0</v>
      </c>
      <c r="J564" s="1250">
        <f t="shared" si="98"/>
        <v>1</v>
      </c>
      <c r="K564" s="941">
        <v>0</v>
      </c>
      <c r="L564" s="941">
        <v>0</v>
      </c>
      <c r="M564" s="940"/>
    </row>
    <row r="565" spans="1:13" ht="12.75">
      <c r="A565" s="935"/>
      <c r="B565" s="935"/>
      <c r="C565" s="936" t="s">
        <v>597</v>
      </c>
      <c r="D565" s="946" t="s">
        <v>22</v>
      </c>
      <c r="E565" s="951">
        <v>7000</v>
      </c>
      <c r="F565" s="955">
        <f t="shared" si="101"/>
        <v>0</v>
      </c>
      <c r="G565" s="949">
        <v>7000</v>
      </c>
      <c r="H565" s="958">
        <v>6860.38</v>
      </c>
      <c r="I565" s="941">
        <v>0</v>
      </c>
      <c r="J565" s="1250">
        <f t="shared" si="98"/>
        <v>0.9800542857142858</v>
      </c>
      <c r="K565" s="941">
        <v>0</v>
      </c>
      <c r="L565" s="941">
        <v>0</v>
      </c>
      <c r="M565" s="940"/>
    </row>
    <row r="566" spans="1:13" ht="22.5">
      <c r="A566" s="935"/>
      <c r="B566" s="935"/>
      <c r="C566" s="936" t="s">
        <v>598</v>
      </c>
      <c r="D566" s="946" t="s">
        <v>40</v>
      </c>
      <c r="E566" s="951">
        <v>4740</v>
      </c>
      <c r="F566" s="955">
        <f t="shared" si="101"/>
        <v>0</v>
      </c>
      <c r="G566" s="949" t="s">
        <v>704</v>
      </c>
      <c r="H566" s="958">
        <v>4740</v>
      </c>
      <c r="I566" s="941">
        <v>0</v>
      </c>
      <c r="J566" s="1250">
        <f t="shared" si="98"/>
        <v>1</v>
      </c>
      <c r="K566" s="941">
        <v>0</v>
      </c>
      <c r="L566" s="941">
        <v>0</v>
      </c>
      <c r="M566" s="940"/>
    </row>
    <row r="567" spans="1:13" ht="22.5">
      <c r="A567" s="935"/>
      <c r="B567" s="935"/>
      <c r="C567" s="936" t="s">
        <v>580</v>
      </c>
      <c r="D567" s="946" t="s">
        <v>581</v>
      </c>
      <c r="E567" s="951">
        <v>0</v>
      </c>
      <c r="F567" s="955">
        <f t="shared" si="101"/>
        <v>0</v>
      </c>
      <c r="G567" s="949">
        <v>0</v>
      </c>
      <c r="H567" s="958">
        <v>0</v>
      </c>
      <c r="I567" s="941">
        <v>0</v>
      </c>
      <c r="J567" s="1250">
        <v>0</v>
      </c>
      <c r="K567" s="941">
        <v>0</v>
      </c>
      <c r="L567" s="941">
        <v>0</v>
      </c>
      <c r="M567" s="940"/>
    </row>
    <row r="568" spans="1:13" ht="15">
      <c r="A568" s="932"/>
      <c r="B568" s="938" t="s">
        <v>705</v>
      </c>
      <c r="C568" s="933"/>
      <c r="D568" s="945" t="s">
        <v>706</v>
      </c>
      <c r="E568" s="950">
        <f>E569</f>
        <v>175860</v>
      </c>
      <c r="F568" s="954">
        <f aca="true" t="shared" si="102" ref="F568:L568">F569</f>
        <v>-16000</v>
      </c>
      <c r="G568" s="947">
        <f t="shared" si="102"/>
        <v>159860</v>
      </c>
      <c r="H568" s="950">
        <f t="shared" si="102"/>
        <v>155317.69</v>
      </c>
      <c r="I568" s="954">
        <f t="shared" si="102"/>
        <v>0</v>
      </c>
      <c r="J568" s="959">
        <f t="shared" si="98"/>
        <v>0.9715856999874891</v>
      </c>
      <c r="K568" s="954">
        <f t="shared" si="102"/>
        <v>3638.6</v>
      </c>
      <c r="L568" s="1439">
        <f t="shared" si="102"/>
        <v>0</v>
      </c>
      <c r="M568" s="940"/>
    </row>
    <row r="569" spans="1:13" ht="33.75">
      <c r="A569" s="935"/>
      <c r="B569" s="935"/>
      <c r="C569" s="936" t="s">
        <v>632</v>
      </c>
      <c r="D569" s="946" t="s">
        <v>633</v>
      </c>
      <c r="E569" s="951">
        <v>175860</v>
      </c>
      <c r="F569" s="955">
        <f>G569-E569</f>
        <v>-16000</v>
      </c>
      <c r="G569" s="949">
        <v>159860</v>
      </c>
      <c r="H569" s="958">
        <v>155317.69</v>
      </c>
      <c r="I569" s="941">
        <v>0</v>
      </c>
      <c r="J569" s="1250">
        <f t="shared" si="98"/>
        <v>0.9715856999874891</v>
      </c>
      <c r="K569" s="941">
        <v>3638.6</v>
      </c>
      <c r="L569" s="941">
        <v>0</v>
      </c>
      <c r="M569" s="940"/>
    </row>
    <row r="570" spans="1:13" ht="22.5">
      <c r="A570" s="932"/>
      <c r="B570" s="938" t="s">
        <v>707</v>
      </c>
      <c r="C570" s="933"/>
      <c r="D570" s="945" t="s">
        <v>708</v>
      </c>
      <c r="E570" s="950">
        <f>E571</f>
        <v>174620</v>
      </c>
      <c r="F570" s="954">
        <f aca="true" t="shared" si="103" ref="F570:L570">F571</f>
        <v>-6000</v>
      </c>
      <c r="G570" s="947">
        <f t="shared" si="103"/>
        <v>168620</v>
      </c>
      <c r="H570" s="950">
        <f t="shared" si="103"/>
        <v>167573.42</v>
      </c>
      <c r="I570" s="954">
        <f t="shared" si="103"/>
        <v>0</v>
      </c>
      <c r="J570" s="959">
        <f t="shared" si="98"/>
        <v>0.9937932629581308</v>
      </c>
      <c r="K570" s="954">
        <f t="shared" si="103"/>
        <v>0</v>
      </c>
      <c r="L570" s="1439">
        <f t="shared" si="103"/>
        <v>0</v>
      </c>
      <c r="M570" s="940"/>
    </row>
    <row r="571" spans="1:13" ht="33.75">
      <c r="A571" s="935"/>
      <c r="B571" s="935"/>
      <c r="C571" s="936" t="s">
        <v>632</v>
      </c>
      <c r="D571" s="946" t="s">
        <v>633</v>
      </c>
      <c r="E571" s="951">
        <v>174620</v>
      </c>
      <c r="F571" s="955">
        <f>G571-E571</f>
        <v>-6000</v>
      </c>
      <c r="G571" s="949">
        <v>168620</v>
      </c>
      <c r="H571" s="958">
        <v>167573.42</v>
      </c>
      <c r="I571" s="941">
        <v>0</v>
      </c>
      <c r="J571" s="1250">
        <f t="shared" si="98"/>
        <v>0.9937932629581308</v>
      </c>
      <c r="K571" s="941">
        <v>0</v>
      </c>
      <c r="L571" s="941">
        <v>0</v>
      </c>
      <c r="M571" s="940"/>
    </row>
    <row r="572" spans="1:13" ht="67.5">
      <c r="A572" s="935"/>
      <c r="B572" s="992" t="s">
        <v>859</v>
      </c>
      <c r="C572" s="1525"/>
      <c r="D572" s="1486" t="s">
        <v>496</v>
      </c>
      <c r="E572" s="1519">
        <f>E573</f>
        <v>60919</v>
      </c>
      <c r="F572" s="1519">
        <f>F573</f>
        <v>15200</v>
      </c>
      <c r="G572" s="1519">
        <f>G573</f>
        <v>76119</v>
      </c>
      <c r="H572" s="1519">
        <f>H573</f>
        <v>74556.46</v>
      </c>
      <c r="I572" s="1519">
        <f>I573</f>
        <v>0</v>
      </c>
      <c r="J572" s="1525"/>
      <c r="K572" s="1519">
        <f>K573</f>
        <v>0</v>
      </c>
      <c r="L572" s="1519">
        <f>L573</f>
        <v>0</v>
      </c>
      <c r="M572" s="940"/>
    </row>
    <row r="573" spans="1:13" ht="12.75">
      <c r="A573" s="935"/>
      <c r="B573" s="935"/>
      <c r="C573" s="984" t="s">
        <v>681</v>
      </c>
      <c r="D573" s="946"/>
      <c r="E573" s="951">
        <v>60919</v>
      </c>
      <c r="F573" s="955">
        <f>G573-E573</f>
        <v>15200</v>
      </c>
      <c r="G573" s="1528">
        <v>76119</v>
      </c>
      <c r="H573" s="942">
        <v>74556.46</v>
      </c>
      <c r="I573" s="941">
        <v>0</v>
      </c>
      <c r="J573" s="1250">
        <f>H573/G573</f>
        <v>0.9794724050499876</v>
      </c>
      <c r="K573" s="941">
        <v>0</v>
      </c>
      <c r="L573" s="1309">
        <v>0</v>
      </c>
      <c r="M573" s="940"/>
    </row>
    <row r="574" spans="1:13" ht="22.5">
      <c r="A574" s="965" t="s">
        <v>200</v>
      </c>
      <c r="B574" s="965"/>
      <c r="C574" s="965"/>
      <c r="D574" s="966" t="s">
        <v>249</v>
      </c>
      <c r="E574" s="967">
        <f>E575+E582+E595+E598+E603+E605+E613+E617+E623+E619</f>
        <v>6662154.75</v>
      </c>
      <c r="F574" s="967">
        <f>F575+F582+F595+F598+F603+F605+F613+F617+F623+F619</f>
        <v>173382.64</v>
      </c>
      <c r="G574" s="967">
        <f>G575+G582+G595+G598+G603+G605+G613+G617+G623+G619</f>
        <v>6821537.390000001</v>
      </c>
      <c r="H574" s="967">
        <f>H575+H582+H595+H598+H603+H605+H613+H617+H623+H619</f>
        <v>6406774.3100000005</v>
      </c>
      <c r="I574" s="967">
        <f>I575+I582+I595+I598+I603+I605+I613+I617+I623+I619</f>
        <v>0</v>
      </c>
      <c r="J574" s="964">
        <f t="shared" si="98"/>
        <v>0.9391980053341026</v>
      </c>
      <c r="K574" s="963">
        <f>K575+K582+K595+K598+K603+K605+K613+K617+K623</f>
        <v>487022.19999999995</v>
      </c>
      <c r="L574" s="1440">
        <f>L575+L582+L595+L598+L603+L605+L613+L617+L623</f>
        <v>30372.36</v>
      </c>
      <c r="M574" s="940"/>
    </row>
    <row r="575" spans="1:13" ht="15">
      <c r="A575" s="932"/>
      <c r="B575" s="938" t="s">
        <v>201</v>
      </c>
      <c r="C575" s="933"/>
      <c r="D575" s="945" t="s">
        <v>709</v>
      </c>
      <c r="E575" s="950">
        <f>E576+E577+E579+E581+E580+E578</f>
        <v>489000</v>
      </c>
      <c r="F575" s="950">
        <f>F576+F577+F579+F581+F580+F578</f>
        <v>-45055</v>
      </c>
      <c r="G575" s="950">
        <f>G576+G577+G579+G581+G580+G578</f>
        <v>443945</v>
      </c>
      <c r="H575" s="950">
        <f>H576+H577+H579+H581+H580+H578</f>
        <v>436543.85</v>
      </c>
      <c r="I575" s="950">
        <f>I576+I577+I579+I581+I580+I578</f>
        <v>0</v>
      </c>
      <c r="J575" s="959">
        <f t="shared" si="98"/>
        <v>0.9833286781020171</v>
      </c>
      <c r="K575" s="954">
        <f>K576+K577+K578+K579+K581</f>
        <v>0</v>
      </c>
      <c r="L575" s="954">
        <f>L576+L577+L578+L579+L581</f>
        <v>0</v>
      </c>
      <c r="M575" s="940"/>
    </row>
    <row r="576" spans="1:13" ht="12.75">
      <c r="A576" s="935"/>
      <c r="B576" s="935"/>
      <c r="C576" s="936" t="s">
        <v>324</v>
      </c>
      <c r="D576" s="946" t="s">
        <v>15</v>
      </c>
      <c r="E576" s="951">
        <v>0</v>
      </c>
      <c r="F576" s="955">
        <f aca="true" t="shared" si="104" ref="F576:F581">G576-E576</f>
        <v>0</v>
      </c>
      <c r="G576" s="949">
        <v>0</v>
      </c>
      <c r="H576" s="958">
        <v>0</v>
      </c>
      <c r="I576" s="941">
        <v>0</v>
      </c>
      <c r="J576" s="1250">
        <v>0</v>
      </c>
      <c r="K576" s="941">
        <v>0</v>
      </c>
      <c r="L576" s="941">
        <v>0</v>
      </c>
      <c r="M576" s="940"/>
    </row>
    <row r="577" spans="1:13" ht="12.75">
      <c r="A577" s="935"/>
      <c r="B577" s="935"/>
      <c r="C577" s="936" t="s">
        <v>325</v>
      </c>
      <c r="D577" s="946" t="s">
        <v>16</v>
      </c>
      <c r="E577" s="951">
        <v>300000</v>
      </c>
      <c r="F577" s="955">
        <f t="shared" si="104"/>
        <v>-51000</v>
      </c>
      <c r="G577" s="949">
        <v>249000</v>
      </c>
      <c r="H577" s="958">
        <v>242613.38</v>
      </c>
      <c r="I577" s="941">
        <v>0</v>
      </c>
      <c r="J577" s="1250">
        <f t="shared" si="98"/>
        <v>0.9743509236947792</v>
      </c>
      <c r="K577" s="941">
        <v>0</v>
      </c>
      <c r="L577" s="941">
        <v>0</v>
      </c>
      <c r="M577" s="940"/>
    </row>
    <row r="578" spans="1:13" ht="12.75">
      <c r="A578" s="935"/>
      <c r="B578" s="935"/>
      <c r="C578" s="984" t="s">
        <v>544</v>
      </c>
      <c r="D578" s="1266" t="s">
        <v>17</v>
      </c>
      <c r="E578" s="951">
        <v>29000</v>
      </c>
      <c r="F578" s="955">
        <f t="shared" si="104"/>
        <v>14445</v>
      </c>
      <c r="G578" s="949">
        <v>43445</v>
      </c>
      <c r="H578" s="958">
        <v>43445</v>
      </c>
      <c r="I578" s="941">
        <v>0</v>
      </c>
      <c r="J578" s="1250">
        <f>H578/G578</f>
        <v>1</v>
      </c>
      <c r="K578" s="941">
        <v>0</v>
      </c>
      <c r="L578" s="941">
        <v>0</v>
      </c>
      <c r="M578" s="940"/>
    </row>
    <row r="579" spans="1:13" ht="22.5">
      <c r="A579" s="935"/>
      <c r="B579" s="935"/>
      <c r="C579" s="936" t="s">
        <v>127</v>
      </c>
      <c r="D579" s="946" t="s">
        <v>41</v>
      </c>
      <c r="E579" s="951">
        <v>80000</v>
      </c>
      <c r="F579" s="955">
        <f t="shared" si="104"/>
        <v>-35000</v>
      </c>
      <c r="G579" s="949">
        <v>45000</v>
      </c>
      <c r="H579" s="958">
        <v>45000</v>
      </c>
      <c r="I579" s="941">
        <v>0</v>
      </c>
      <c r="J579" s="1250">
        <f t="shared" si="98"/>
        <v>1</v>
      </c>
      <c r="K579" s="941">
        <v>0</v>
      </c>
      <c r="L579" s="941">
        <v>0</v>
      </c>
      <c r="M579" s="940"/>
    </row>
    <row r="580" spans="1:13" ht="12.75">
      <c r="A580" s="935"/>
      <c r="B580" s="935"/>
      <c r="C580" s="984" t="s">
        <v>145</v>
      </c>
      <c r="D580" s="946"/>
      <c r="E580" s="951">
        <v>0</v>
      </c>
      <c r="F580" s="955">
        <f t="shared" si="104"/>
        <v>61500</v>
      </c>
      <c r="G580" s="949">
        <v>61500</v>
      </c>
      <c r="H580" s="958">
        <v>61500</v>
      </c>
      <c r="I580" s="941">
        <v>0</v>
      </c>
      <c r="J580" s="1250">
        <f t="shared" si="98"/>
        <v>1</v>
      </c>
      <c r="K580" s="941">
        <v>0</v>
      </c>
      <c r="L580" s="941">
        <v>0</v>
      </c>
      <c r="M580" s="940"/>
    </row>
    <row r="581" spans="1:13" ht="67.5">
      <c r="A581" s="935"/>
      <c r="B581" s="935"/>
      <c r="C581" s="936" t="s">
        <v>170</v>
      </c>
      <c r="D581" s="946" t="s">
        <v>613</v>
      </c>
      <c r="E581" s="951">
        <v>80000</v>
      </c>
      <c r="F581" s="955">
        <f t="shared" si="104"/>
        <v>-35000</v>
      </c>
      <c r="G581" s="949">
        <v>45000</v>
      </c>
      <c r="H581" s="958">
        <v>43985.47</v>
      </c>
      <c r="I581" s="941">
        <v>0</v>
      </c>
      <c r="J581" s="1250">
        <f t="shared" si="98"/>
        <v>0.9774548888888889</v>
      </c>
      <c r="K581" s="941">
        <v>0</v>
      </c>
      <c r="L581" s="941">
        <v>0</v>
      </c>
      <c r="M581" s="940"/>
    </row>
    <row r="582" spans="1:13" ht="15">
      <c r="A582" s="932"/>
      <c r="B582" s="938" t="s">
        <v>528</v>
      </c>
      <c r="C582" s="933"/>
      <c r="D582" s="945" t="s">
        <v>250</v>
      </c>
      <c r="E582" s="950">
        <f>E583+E584+E585+E586+E587+E588+E589+E590+E591+E592+E593+E594</f>
        <v>3588791.75</v>
      </c>
      <c r="F582" s="954">
        <f aca="true" t="shared" si="105" ref="F582:L582">F583+F584+F585+F586+F587+F588+F589+F590+F591+F592+F593+F594</f>
        <v>269752</v>
      </c>
      <c r="G582" s="947">
        <f t="shared" si="105"/>
        <v>3858543.75</v>
      </c>
      <c r="H582" s="950">
        <f t="shared" si="105"/>
        <v>3638996.4000000004</v>
      </c>
      <c r="I582" s="954">
        <f t="shared" si="105"/>
        <v>0</v>
      </c>
      <c r="J582" s="959">
        <f t="shared" si="98"/>
        <v>0.9431009820738718</v>
      </c>
      <c r="K582" s="954">
        <f t="shared" si="105"/>
        <v>224244.93</v>
      </c>
      <c r="L582" s="1439">
        <f t="shared" si="105"/>
        <v>0</v>
      </c>
      <c r="M582" s="940"/>
    </row>
    <row r="583" spans="1:13" ht="45">
      <c r="A583" s="935"/>
      <c r="B583" s="935"/>
      <c r="C583" s="936" t="s">
        <v>640</v>
      </c>
      <c r="D583" s="946" t="s">
        <v>641</v>
      </c>
      <c r="E583" s="951">
        <v>0</v>
      </c>
      <c r="F583" s="955">
        <f>G583-E583</f>
        <v>0</v>
      </c>
      <c r="G583" s="949">
        <v>0</v>
      </c>
      <c r="H583" s="958">
        <v>0</v>
      </c>
      <c r="I583" s="941">
        <v>0</v>
      </c>
      <c r="J583" s="1250">
        <v>0</v>
      </c>
      <c r="K583" s="941">
        <v>0</v>
      </c>
      <c r="L583" s="941">
        <v>0</v>
      </c>
      <c r="M583" s="940"/>
    </row>
    <row r="584" spans="1:13" ht="22.5">
      <c r="A584" s="935"/>
      <c r="B584" s="935"/>
      <c r="C584" s="936" t="s">
        <v>543</v>
      </c>
      <c r="D584" s="946" t="s">
        <v>12</v>
      </c>
      <c r="E584" s="951">
        <v>159515.04</v>
      </c>
      <c r="F584" s="955">
        <f aca="true" t="shared" si="106" ref="F584:F594">G584-E584</f>
        <v>0</v>
      </c>
      <c r="G584" s="949">
        <v>159515.04</v>
      </c>
      <c r="H584" s="958">
        <v>152696.3</v>
      </c>
      <c r="I584" s="941">
        <v>0</v>
      </c>
      <c r="J584" s="1250">
        <f t="shared" si="98"/>
        <v>0.957253309781949</v>
      </c>
      <c r="K584" s="941">
        <v>0</v>
      </c>
      <c r="L584" s="941">
        <v>0</v>
      </c>
      <c r="M584" s="940"/>
    </row>
    <row r="585" spans="1:13" ht="12.75">
      <c r="A585" s="935"/>
      <c r="B585" s="935"/>
      <c r="C585" s="936" t="s">
        <v>578</v>
      </c>
      <c r="D585" s="946" t="s">
        <v>579</v>
      </c>
      <c r="E585" s="951">
        <v>11825.19</v>
      </c>
      <c r="F585" s="955">
        <f t="shared" si="106"/>
        <v>-357.96000000000095</v>
      </c>
      <c r="G585" s="949">
        <v>11467.23</v>
      </c>
      <c r="H585" s="958">
        <v>11467.23</v>
      </c>
      <c r="I585" s="941">
        <v>0</v>
      </c>
      <c r="J585" s="1250">
        <f t="shared" si="98"/>
        <v>1</v>
      </c>
      <c r="K585" s="941">
        <v>10722.04</v>
      </c>
      <c r="L585" s="941">
        <v>0</v>
      </c>
      <c r="M585" s="940"/>
    </row>
    <row r="586" spans="1:13" ht="12.75">
      <c r="A586" s="935"/>
      <c r="B586" s="935"/>
      <c r="C586" s="936" t="s">
        <v>333</v>
      </c>
      <c r="D586" s="946" t="s">
        <v>13</v>
      </c>
      <c r="E586" s="951">
        <v>26525.29</v>
      </c>
      <c r="F586" s="955">
        <f t="shared" si="106"/>
        <v>0</v>
      </c>
      <c r="G586" s="949">
        <v>26525.29</v>
      </c>
      <c r="H586" s="958">
        <v>25098.91</v>
      </c>
      <c r="I586" s="941">
        <v>0</v>
      </c>
      <c r="J586" s="1250">
        <f t="shared" si="98"/>
        <v>0.946225658607314</v>
      </c>
      <c r="K586" s="941">
        <v>1833.45</v>
      </c>
      <c r="L586" s="941">
        <v>0</v>
      </c>
      <c r="M586" s="940"/>
    </row>
    <row r="587" spans="1:13" ht="33.75">
      <c r="A587" s="935"/>
      <c r="B587" s="935"/>
      <c r="C587" s="936" t="s">
        <v>334</v>
      </c>
      <c r="D587" s="1266" t="s">
        <v>875</v>
      </c>
      <c r="E587" s="951">
        <v>3005.55</v>
      </c>
      <c r="F587" s="955">
        <f t="shared" si="106"/>
        <v>357.96000000000004</v>
      </c>
      <c r="G587" s="949">
        <v>3363.51</v>
      </c>
      <c r="H587" s="958">
        <v>3297.51</v>
      </c>
      <c r="I587" s="941">
        <v>0</v>
      </c>
      <c r="J587" s="1250">
        <f t="shared" si="98"/>
        <v>0.9803776412140889</v>
      </c>
      <c r="K587" s="941">
        <v>246.51</v>
      </c>
      <c r="L587" s="941">
        <v>0</v>
      </c>
      <c r="M587" s="940"/>
    </row>
    <row r="588" spans="1:13" ht="12.75">
      <c r="A588" s="935"/>
      <c r="B588" s="935"/>
      <c r="C588" s="936" t="s">
        <v>331</v>
      </c>
      <c r="D588" s="946" t="s">
        <v>28</v>
      </c>
      <c r="E588" s="951">
        <v>0</v>
      </c>
      <c r="F588" s="955">
        <f t="shared" si="106"/>
        <v>0</v>
      </c>
      <c r="G588" s="949">
        <v>0</v>
      </c>
      <c r="H588" s="958">
        <v>0</v>
      </c>
      <c r="I588" s="941">
        <v>0</v>
      </c>
      <c r="J588" s="1250">
        <v>0</v>
      </c>
      <c r="K588" s="941">
        <v>0</v>
      </c>
      <c r="L588" s="941">
        <v>0</v>
      </c>
      <c r="M588" s="940"/>
    </row>
    <row r="589" spans="1:13" ht="12.75">
      <c r="A589" s="935"/>
      <c r="B589" s="935"/>
      <c r="C589" s="936" t="s">
        <v>324</v>
      </c>
      <c r="D589" s="946" t="s">
        <v>15</v>
      </c>
      <c r="E589" s="951">
        <v>12000</v>
      </c>
      <c r="F589" s="955">
        <f t="shared" si="106"/>
        <v>-104</v>
      </c>
      <c r="G589" s="949">
        <v>11896</v>
      </c>
      <c r="H589" s="958">
        <v>11183.31</v>
      </c>
      <c r="I589" s="941">
        <v>0</v>
      </c>
      <c r="J589" s="1250">
        <f t="shared" si="98"/>
        <v>0.9400899462004034</v>
      </c>
      <c r="K589" s="941">
        <v>0</v>
      </c>
      <c r="L589" s="941">
        <v>0</v>
      </c>
      <c r="M589" s="940"/>
    </row>
    <row r="590" spans="1:13" ht="12.75">
      <c r="A590" s="935"/>
      <c r="B590" s="935"/>
      <c r="C590" s="936" t="s">
        <v>325</v>
      </c>
      <c r="D590" s="946" t="s">
        <v>16</v>
      </c>
      <c r="E590" s="951">
        <v>3368974.68</v>
      </c>
      <c r="F590" s="955">
        <f t="shared" si="106"/>
        <v>269000</v>
      </c>
      <c r="G590" s="949">
        <v>3637974.68</v>
      </c>
      <c r="H590" s="958">
        <v>3429357.14</v>
      </c>
      <c r="I590" s="941">
        <v>0</v>
      </c>
      <c r="J590" s="1250">
        <f t="shared" si="98"/>
        <v>0.9426555821988294</v>
      </c>
      <c r="K590" s="941">
        <v>211442.93</v>
      </c>
      <c r="L590" s="941">
        <v>0</v>
      </c>
      <c r="M590" s="940"/>
    </row>
    <row r="591" spans="1:13" ht="12.75">
      <c r="A591" s="935"/>
      <c r="B591" s="935"/>
      <c r="C591" s="984" t="s">
        <v>597</v>
      </c>
      <c r="D591" s="946"/>
      <c r="E591" s="951">
        <v>500</v>
      </c>
      <c r="F591" s="955">
        <f t="shared" si="106"/>
        <v>0</v>
      </c>
      <c r="G591" s="949">
        <v>500</v>
      </c>
      <c r="H591" s="958">
        <v>0</v>
      </c>
      <c r="I591" s="941">
        <v>0</v>
      </c>
      <c r="J591" s="1250">
        <v>0</v>
      </c>
      <c r="K591" s="941">
        <v>0</v>
      </c>
      <c r="L591" s="941">
        <v>0</v>
      </c>
      <c r="M591" s="940"/>
    </row>
    <row r="592" spans="1:13" ht="22.5">
      <c r="A592" s="935"/>
      <c r="B592" s="935"/>
      <c r="C592" s="936" t="s">
        <v>598</v>
      </c>
      <c r="D592" s="946" t="s">
        <v>40</v>
      </c>
      <c r="E592" s="951">
        <v>4446</v>
      </c>
      <c r="F592" s="955">
        <f t="shared" si="106"/>
        <v>-144</v>
      </c>
      <c r="G592" s="949">
        <v>4302</v>
      </c>
      <c r="H592" s="958">
        <v>4198</v>
      </c>
      <c r="I592" s="941">
        <v>0</v>
      </c>
      <c r="J592" s="1250">
        <f t="shared" si="98"/>
        <v>0.9758251975825197</v>
      </c>
      <c r="K592" s="941">
        <v>0</v>
      </c>
      <c r="L592" s="941">
        <v>0</v>
      </c>
      <c r="M592" s="940"/>
    </row>
    <row r="593" spans="1:13" ht="33.75">
      <c r="A593" s="935"/>
      <c r="B593" s="935"/>
      <c r="C593" s="936" t="s">
        <v>566</v>
      </c>
      <c r="D593" s="946" t="s">
        <v>567</v>
      </c>
      <c r="E593" s="951">
        <v>0</v>
      </c>
      <c r="F593" s="955">
        <f t="shared" si="106"/>
        <v>1000</v>
      </c>
      <c r="G593" s="949">
        <v>1000</v>
      </c>
      <c r="H593" s="958">
        <v>500</v>
      </c>
      <c r="I593" s="941">
        <v>0</v>
      </c>
      <c r="J593" s="1250">
        <f t="shared" si="98"/>
        <v>0.5</v>
      </c>
      <c r="K593" s="941">
        <v>0</v>
      </c>
      <c r="L593" s="941">
        <v>0</v>
      </c>
      <c r="M593" s="940"/>
    </row>
    <row r="594" spans="1:13" ht="22.5">
      <c r="A594" s="935"/>
      <c r="B594" s="935"/>
      <c r="C594" s="936" t="s">
        <v>580</v>
      </c>
      <c r="D594" s="946" t="s">
        <v>581</v>
      </c>
      <c r="E594" s="951">
        <v>2000</v>
      </c>
      <c r="F594" s="955">
        <f t="shared" si="106"/>
        <v>0</v>
      </c>
      <c r="G594" s="949" t="s">
        <v>394</v>
      </c>
      <c r="H594" s="958">
        <v>1198</v>
      </c>
      <c r="I594" s="941">
        <v>0</v>
      </c>
      <c r="J594" s="1250">
        <f t="shared" si="98"/>
        <v>0.599</v>
      </c>
      <c r="K594" s="941">
        <v>0</v>
      </c>
      <c r="L594" s="941">
        <v>0</v>
      </c>
      <c r="M594" s="940"/>
    </row>
    <row r="595" spans="1:13" ht="15">
      <c r="A595" s="932"/>
      <c r="B595" s="938" t="s">
        <v>710</v>
      </c>
      <c r="C595" s="933"/>
      <c r="D595" s="945" t="s">
        <v>711</v>
      </c>
      <c r="E595" s="950">
        <f>E596+E597</f>
        <v>466000</v>
      </c>
      <c r="F595" s="954">
        <f aca="true" t="shared" si="107" ref="F595:L595">F596+F597</f>
        <v>-47000</v>
      </c>
      <c r="G595" s="947">
        <f t="shared" si="107"/>
        <v>419000</v>
      </c>
      <c r="H595" s="950">
        <f t="shared" si="107"/>
        <v>371671.43</v>
      </c>
      <c r="I595" s="954">
        <f t="shared" si="107"/>
        <v>0</v>
      </c>
      <c r="J595" s="959">
        <f t="shared" si="98"/>
        <v>0.8870439856801909</v>
      </c>
      <c r="K595" s="954">
        <f t="shared" si="107"/>
        <v>22968.01</v>
      </c>
      <c r="L595" s="1439">
        <f t="shared" si="107"/>
        <v>0</v>
      </c>
      <c r="M595" s="940"/>
    </row>
    <row r="596" spans="1:13" ht="12.75">
      <c r="A596" s="935"/>
      <c r="B596" s="935"/>
      <c r="C596" s="936" t="s">
        <v>324</v>
      </c>
      <c r="D596" s="946" t="s">
        <v>15</v>
      </c>
      <c r="E596" s="951">
        <v>0</v>
      </c>
      <c r="F596" s="955">
        <f>G596-E596</f>
        <v>0</v>
      </c>
      <c r="G596" s="949">
        <v>0</v>
      </c>
      <c r="H596" s="958">
        <v>0</v>
      </c>
      <c r="I596" s="941">
        <v>0</v>
      </c>
      <c r="J596" s="1250">
        <v>0</v>
      </c>
      <c r="K596" s="941">
        <v>0</v>
      </c>
      <c r="L596" s="941">
        <v>0</v>
      </c>
      <c r="M596" s="940"/>
    </row>
    <row r="597" spans="1:13" ht="12.75">
      <c r="A597" s="935"/>
      <c r="B597" s="935"/>
      <c r="C597" s="936" t="s">
        <v>325</v>
      </c>
      <c r="D597" s="946" t="s">
        <v>16</v>
      </c>
      <c r="E597" s="951">
        <v>466000</v>
      </c>
      <c r="F597" s="955">
        <f>G597-E597</f>
        <v>-47000</v>
      </c>
      <c r="G597" s="949">
        <v>419000</v>
      </c>
      <c r="H597" s="958">
        <v>371671.43</v>
      </c>
      <c r="I597" s="941">
        <v>0</v>
      </c>
      <c r="J597" s="1250">
        <f t="shared" si="98"/>
        <v>0.8870439856801909</v>
      </c>
      <c r="K597" s="941">
        <v>22968.01</v>
      </c>
      <c r="L597" s="941">
        <v>0</v>
      </c>
      <c r="M597" s="940"/>
    </row>
    <row r="598" spans="1:13" ht="15">
      <c r="A598" s="932"/>
      <c r="B598" s="938" t="s">
        <v>329</v>
      </c>
      <c r="C598" s="933"/>
      <c r="D598" s="945" t="s">
        <v>330</v>
      </c>
      <c r="E598" s="950">
        <f>E599+E600+E601+E602</f>
        <v>392400</v>
      </c>
      <c r="F598" s="954">
        <f aca="true" t="shared" si="108" ref="F598:L598">F599+F600+F601+F602</f>
        <v>-26553.559999999998</v>
      </c>
      <c r="G598" s="947">
        <f t="shared" si="108"/>
        <v>365846.44</v>
      </c>
      <c r="H598" s="950">
        <f t="shared" si="108"/>
        <v>357752.76</v>
      </c>
      <c r="I598" s="954">
        <f t="shared" si="108"/>
        <v>0</v>
      </c>
      <c r="J598" s="959">
        <f t="shared" si="98"/>
        <v>0.9778768381619348</v>
      </c>
      <c r="K598" s="954">
        <f t="shared" si="108"/>
        <v>15.8</v>
      </c>
      <c r="L598" s="1439">
        <f t="shared" si="108"/>
        <v>23912.36</v>
      </c>
      <c r="M598" s="940"/>
    </row>
    <row r="599" spans="1:13" ht="12.75">
      <c r="A599" s="935"/>
      <c r="B599" s="935"/>
      <c r="C599" s="936" t="s">
        <v>331</v>
      </c>
      <c r="D599" s="946" t="s">
        <v>28</v>
      </c>
      <c r="E599" s="951">
        <v>5000</v>
      </c>
      <c r="F599" s="955">
        <f>G599-E599</f>
        <v>0</v>
      </c>
      <c r="G599" s="949">
        <v>5000</v>
      </c>
      <c r="H599" s="958">
        <v>5000</v>
      </c>
      <c r="I599" s="941">
        <v>0</v>
      </c>
      <c r="J599" s="1250">
        <f t="shared" si="98"/>
        <v>1</v>
      </c>
      <c r="K599" s="941">
        <v>0</v>
      </c>
      <c r="L599" s="941">
        <v>5000</v>
      </c>
      <c r="M599" s="940"/>
    </row>
    <row r="600" spans="1:13" ht="12.75">
      <c r="A600" s="935"/>
      <c r="B600" s="935"/>
      <c r="C600" s="936" t="s">
        <v>324</v>
      </c>
      <c r="D600" s="946" t="s">
        <v>15</v>
      </c>
      <c r="E600" s="951">
        <v>86600</v>
      </c>
      <c r="F600" s="955">
        <f>G600-E600</f>
        <v>-12453.559999999998</v>
      </c>
      <c r="G600" s="949">
        <v>74146.44</v>
      </c>
      <c r="H600" s="958">
        <v>73941.52</v>
      </c>
      <c r="I600" s="941">
        <v>0</v>
      </c>
      <c r="J600" s="1250">
        <f t="shared" si="98"/>
        <v>0.997236279988628</v>
      </c>
      <c r="K600" s="941">
        <v>0</v>
      </c>
      <c r="L600" s="941">
        <v>13615.26</v>
      </c>
      <c r="M600" s="940"/>
    </row>
    <row r="601" spans="1:13" ht="12.75">
      <c r="A601" s="935"/>
      <c r="B601" s="935"/>
      <c r="C601" s="936" t="s">
        <v>546</v>
      </c>
      <c r="D601" s="946" t="s">
        <v>37</v>
      </c>
      <c r="E601" s="951">
        <v>5000</v>
      </c>
      <c r="F601" s="955">
        <f>G601-E601</f>
        <v>-4600</v>
      </c>
      <c r="G601" s="949">
        <v>400</v>
      </c>
      <c r="H601" s="958">
        <v>85.64</v>
      </c>
      <c r="I601" s="941">
        <v>0</v>
      </c>
      <c r="J601" s="1250">
        <f t="shared" si="98"/>
        <v>0.2141</v>
      </c>
      <c r="K601" s="941">
        <v>15.8</v>
      </c>
      <c r="L601" s="941">
        <v>0</v>
      </c>
      <c r="M601" s="940"/>
    </row>
    <row r="602" spans="1:13" ht="12.75">
      <c r="A602" s="935"/>
      <c r="B602" s="935"/>
      <c r="C602" s="936" t="s">
        <v>325</v>
      </c>
      <c r="D602" s="946" t="s">
        <v>16</v>
      </c>
      <c r="E602" s="951">
        <v>295800</v>
      </c>
      <c r="F602" s="955">
        <f>G602-E602</f>
        <v>-9500</v>
      </c>
      <c r="G602" s="949">
        <v>286300</v>
      </c>
      <c r="H602" s="958">
        <v>278725.6</v>
      </c>
      <c r="I602" s="941">
        <v>0</v>
      </c>
      <c r="J602" s="1250">
        <f t="shared" si="98"/>
        <v>0.973543835137967</v>
      </c>
      <c r="K602" s="941">
        <v>0</v>
      </c>
      <c r="L602" s="941">
        <v>5297.1</v>
      </c>
      <c r="M602" s="940"/>
    </row>
    <row r="603" spans="1:13" ht="22.5">
      <c r="A603" s="932"/>
      <c r="B603" s="938" t="s">
        <v>206</v>
      </c>
      <c r="C603" s="933"/>
      <c r="D603" s="945" t="s">
        <v>286</v>
      </c>
      <c r="E603" s="950">
        <f>E604</f>
        <v>80000</v>
      </c>
      <c r="F603" s="954">
        <f aca="true" t="shared" si="109" ref="F603:L603">F604</f>
        <v>31000</v>
      </c>
      <c r="G603" s="947">
        <f t="shared" si="109"/>
        <v>111000</v>
      </c>
      <c r="H603" s="950">
        <f t="shared" si="109"/>
        <v>110142.67</v>
      </c>
      <c r="I603" s="954">
        <f t="shared" si="109"/>
        <v>0</v>
      </c>
      <c r="J603" s="959">
        <f t="shared" si="98"/>
        <v>0.9922763063063063</v>
      </c>
      <c r="K603" s="954">
        <f t="shared" si="109"/>
        <v>0</v>
      </c>
      <c r="L603" s="1439">
        <f t="shared" si="109"/>
        <v>0</v>
      </c>
      <c r="M603" s="940"/>
    </row>
    <row r="604" spans="1:13" ht="67.5">
      <c r="A604" s="935"/>
      <c r="B604" s="935"/>
      <c r="C604" s="936" t="s">
        <v>170</v>
      </c>
      <c r="D604" s="946" t="s">
        <v>613</v>
      </c>
      <c r="E604" s="951">
        <v>80000</v>
      </c>
      <c r="F604" s="955">
        <f>G604-E604</f>
        <v>31000</v>
      </c>
      <c r="G604" s="949">
        <v>111000</v>
      </c>
      <c r="H604" s="958">
        <v>110142.67</v>
      </c>
      <c r="I604" s="941">
        <v>0</v>
      </c>
      <c r="J604" s="1250">
        <f t="shared" si="98"/>
        <v>0.9922763063063063</v>
      </c>
      <c r="K604" s="941">
        <v>0</v>
      </c>
      <c r="L604" s="941">
        <v>0</v>
      </c>
      <c r="M604" s="940"/>
    </row>
    <row r="605" spans="1:13" ht="15">
      <c r="A605" s="932"/>
      <c r="B605" s="938" t="s">
        <v>211</v>
      </c>
      <c r="C605" s="933"/>
      <c r="D605" s="945" t="s">
        <v>252</v>
      </c>
      <c r="E605" s="950">
        <f>E606+E607+E608+E609+E610+E611+E612</f>
        <v>127000</v>
      </c>
      <c r="F605" s="954">
        <f aca="true" t="shared" si="110" ref="F605:L605">F606+F607+F608+F609+F610+F611+F612</f>
        <v>0</v>
      </c>
      <c r="G605" s="947">
        <f t="shared" si="110"/>
        <v>127000</v>
      </c>
      <c r="H605" s="950">
        <f t="shared" si="110"/>
        <v>117055.47</v>
      </c>
      <c r="I605" s="954">
        <f t="shared" si="110"/>
        <v>0</v>
      </c>
      <c r="J605" s="959">
        <f t="shared" si="98"/>
        <v>0.9216966141732283</v>
      </c>
      <c r="K605" s="954">
        <f t="shared" si="110"/>
        <v>0</v>
      </c>
      <c r="L605" s="1439">
        <f t="shared" si="110"/>
        <v>0</v>
      </c>
      <c r="M605" s="940"/>
    </row>
    <row r="606" spans="1:13" ht="45">
      <c r="A606" s="935"/>
      <c r="B606" s="935"/>
      <c r="C606" s="936" t="s">
        <v>481</v>
      </c>
      <c r="D606" s="946" t="s">
        <v>549</v>
      </c>
      <c r="E606" s="951">
        <v>120000</v>
      </c>
      <c r="F606" s="955">
        <f>G606-E606</f>
        <v>0</v>
      </c>
      <c r="G606" s="949" t="s">
        <v>675</v>
      </c>
      <c r="H606" s="958">
        <v>111250</v>
      </c>
      <c r="I606" s="941">
        <v>0</v>
      </c>
      <c r="J606" s="1250">
        <f t="shared" si="98"/>
        <v>0.9270833333333334</v>
      </c>
      <c r="K606" s="941">
        <v>0</v>
      </c>
      <c r="L606" s="941">
        <v>0</v>
      </c>
      <c r="M606" s="940"/>
    </row>
    <row r="607" spans="1:13" ht="12.75">
      <c r="A607" s="935"/>
      <c r="B607" s="935"/>
      <c r="C607" s="936" t="s">
        <v>333</v>
      </c>
      <c r="D607" s="946" t="s">
        <v>13</v>
      </c>
      <c r="E607" s="951">
        <v>171</v>
      </c>
      <c r="F607" s="955">
        <f aca="true" t="shared" si="111" ref="F607:F612">G607-E607</f>
        <v>0</v>
      </c>
      <c r="G607" s="949">
        <v>171</v>
      </c>
      <c r="H607" s="958">
        <v>171</v>
      </c>
      <c r="I607" s="941">
        <v>0</v>
      </c>
      <c r="J607" s="1250">
        <f t="shared" si="98"/>
        <v>1</v>
      </c>
      <c r="K607" s="941">
        <v>0</v>
      </c>
      <c r="L607" s="941">
        <v>0</v>
      </c>
      <c r="M607" s="940"/>
    </row>
    <row r="608" spans="1:13" ht="33.75">
      <c r="A608" s="935"/>
      <c r="B608" s="935"/>
      <c r="C608" s="936" t="s">
        <v>334</v>
      </c>
      <c r="D608" s="1266" t="s">
        <v>875</v>
      </c>
      <c r="E608" s="951">
        <v>24.5</v>
      </c>
      <c r="F608" s="955">
        <f t="shared" si="111"/>
        <v>0</v>
      </c>
      <c r="G608" s="949" t="s">
        <v>712</v>
      </c>
      <c r="H608" s="958">
        <v>24.5</v>
      </c>
      <c r="I608" s="941">
        <v>0</v>
      </c>
      <c r="J608" s="1250">
        <f t="shared" si="98"/>
        <v>1</v>
      </c>
      <c r="K608" s="941">
        <v>0</v>
      </c>
      <c r="L608" s="941">
        <v>0</v>
      </c>
      <c r="M608" s="940"/>
    </row>
    <row r="609" spans="1:13" ht="12.75">
      <c r="A609" s="935"/>
      <c r="B609" s="935"/>
      <c r="C609" s="936" t="s">
        <v>331</v>
      </c>
      <c r="D609" s="946" t="s">
        <v>28</v>
      </c>
      <c r="E609" s="951">
        <v>1000</v>
      </c>
      <c r="F609" s="955">
        <f t="shared" si="111"/>
        <v>0</v>
      </c>
      <c r="G609" s="949" t="s">
        <v>404</v>
      </c>
      <c r="H609" s="958">
        <v>1000</v>
      </c>
      <c r="I609" s="941">
        <v>0</v>
      </c>
      <c r="J609" s="1250">
        <f t="shared" si="98"/>
        <v>1</v>
      </c>
      <c r="K609" s="941">
        <v>0</v>
      </c>
      <c r="L609" s="941">
        <v>0</v>
      </c>
      <c r="M609" s="940"/>
    </row>
    <row r="610" spans="1:13" ht="12.75">
      <c r="A610" s="935"/>
      <c r="B610" s="935"/>
      <c r="C610" s="936" t="s">
        <v>324</v>
      </c>
      <c r="D610" s="946" t="s">
        <v>15</v>
      </c>
      <c r="E610" s="951">
        <v>804.5</v>
      </c>
      <c r="F610" s="955">
        <f t="shared" si="111"/>
        <v>500</v>
      </c>
      <c r="G610" s="949">
        <v>1304.5</v>
      </c>
      <c r="H610" s="958">
        <v>1290</v>
      </c>
      <c r="I610" s="941">
        <v>0</v>
      </c>
      <c r="J610" s="1250">
        <f t="shared" si="98"/>
        <v>0.9888846301264852</v>
      </c>
      <c r="K610" s="941">
        <v>0</v>
      </c>
      <c r="L610" s="941">
        <v>0</v>
      </c>
      <c r="M610" s="940"/>
    </row>
    <row r="611" spans="1:13" ht="12.75">
      <c r="A611" s="935"/>
      <c r="B611" s="935"/>
      <c r="C611" s="936" t="s">
        <v>325</v>
      </c>
      <c r="D611" s="946" t="s">
        <v>16</v>
      </c>
      <c r="E611" s="951">
        <v>5000</v>
      </c>
      <c r="F611" s="955">
        <f t="shared" si="111"/>
        <v>-500</v>
      </c>
      <c r="G611" s="949">
        <v>4500</v>
      </c>
      <c r="H611" s="958">
        <v>3319.97</v>
      </c>
      <c r="I611" s="941">
        <v>0</v>
      </c>
      <c r="J611" s="1250">
        <f t="shared" si="98"/>
        <v>0.737771111111111</v>
      </c>
      <c r="K611" s="941">
        <v>0</v>
      </c>
      <c r="L611" s="941">
        <v>0</v>
      </c>
      <c r="M611" s="940"/>
    </row>
    <row r="612" spans="1:13" ht="67.5" hidden="1">
      <c r="A612" s="935"/>
      <c r="B612" s="935"/>
      <c r="C612" s="936" t="s">
        <v>120</v>
      </c>
      <c r="D612" s="946" t="s">
        <v>551</v>
      </c>
      <c r="E612" s="951">
        <v>0</v>
      </c>
      <c r="F612" s="955">
        <f t="shared" si="111"/>
        <v>0</v>
      </c>
      <c r="G612" s="949">
        <v>0</v>
      </c>
      <c r="H612" s="958">
        <v>0</v>
      </c>
      <c r="I612" s="941">
        <v>0</v>
      </c>
      <c r="J612" s="1250">
        <v>0</v>
      </c>
      <c r="K612" s="941">
        <v>0</v>
      </c>
      <c r="L612" s="941">
        <v>0</v>
      </c>
      <c r="M612" s="940"/>
    </row>
    <row r="613" spans="1:13" ht="15">
      <c r="A613" s="932"/>
      <c r="B613" s="938" t="s">
        <v>208</v>
      </c>
      <c r="C613" s="933"/>
      <c r="D613" s="945" t="s">
        <v>332</v>
      </c>
      <c r="E613" s="950">
        <f>E614+E615+E616</f>
        <v>1112000</v>
      </c>
      <c r="F613" s="954">
        <f aca="true" t="shared" si="112" ref="F613:L613">F614+F615+F616</f>
        <v>-80000</v>
      </c>
      <c r="G613" s="947">
        <f t="shared" si="112"/>
        <v>1032000</v>
      </c>
      <c r="H613" s="950">
        <f t="shared" si="112"/>
        <v>1004014.5799999998</v>
      </c>
      <c r="I613" s="954">
        <f t="shared" si="112"/>
        <v>0</v>
      </c>
      <c r="J613" s="959">
        <f t="shared" si="98"/>
        <v>0.9728823449612402</v>
      </c>
      <c r="K613" s="954">
        <f t="shared" si="112"/>
        <v>222447.86</v>
      </c>
      <c r="L613" s="1439">
        <f t="shared" si="112"/>
        <v>6460</v>
      </c>
      <c r="M613" s="940"/>
    </row>
    <row r="614" spans="1:13" ht="12.75">
      <c r="A614" s="935"/>
      <c r="B614" s="935"/>
      <c r="C614" s="936" t="s">
        <v>546</v>
      </c>
      <c r="D614" s="946" t="s">
        <v>37</v>
      </c>
      <c r="E614" s="951">
        <v>600000</v>
      </c>
      <c r="F614" s="955">
        <f>G614-E614</f>
        <v>-65000</v>
      </c>
      <c r="G614" s="949">
        <v>535000</v>
      </c>
      <c r="H614" s="958">
        <v>534923.57</v>
      </c>
      <c r="I614" s="941">
        <v>0</v>
      </c>
      <c r="J614" s="1250">
        <f t="shared" si="98"/>
        <v>0.9998571401869157</v>
      </c>
      <c r="K614" s="941">
        <v>120143.61</v>
      </c>
      <c r="L614" s="941">
        <v>0</v>
      </c>
      <c r="M614" s="940"/>
    </row>
    <row r="615" spans="1:13" ht="12.75">
      <c r="A615" s="935"/>
      <c r="B615" s="935"/>
      <c r="C615" s="936" t="s">
        <v>325</v>
      </c>
      <c r="D615" s="946" t="s">
        <v>16</v>
      </c>
      <c r="E615" s="951">
        <v>432000</v>
      </c>
      <c r="F615" s="955">
        <f>G615-E615</f>
        <v>-25000</v>
      </c>
      <c r="G615" s="949">
        <v>407000</v>
      </c>
      <c r="H615" s="958">
        <v>393736.31</v>
      </c>
      <c r="I615" s="941">
        <v>0</v>
      </c>
      <c r="J615" s="1250">
        <f t="shared" si="98"/>
        <v>0.9674110810810811</v>
      </c>
      <c r="K615" s="941">
        <v>102304.25</v>
      </c>
      <c r="L615" s="941">
        <v>6460</v>
      </c>
      <c r="M615" s="940"/>
    </row>
    <row r="616" spans="1:13" ht="22.5">
      <c r="A616" s="935"/>
      <c r="B616" s="935"/>
      <c r="C616" s="936" t="s">
        <v>127</v>
      </c>
      <c r="D616" s="946" t="s">
        <v>41</v>
      </c>
      <c r="E616" s="951">
        <v>80000</v>
      </c>
      <c r="F616" s="955">
        <f>G616-E616</f>
        <v>10000</v>
      </c>
      <c r="G616" s="949">
        <v>90000</v>
      </c>
      <c r="H616" s="958">
        <v>75354.7</v>
      </c>
      <c r="I616" s="941">
        <v>0</v>
      </c>
      <c r="J616" s="1250">
        <f t="shared" si="98"/>
        <v>0.8372744444444444</v>
      </c>
      <c r="K616" s="941">
        <v>0</v>
      </c>
      <c r="L616" s="941">
        <v>0</v>
      </c>
      <c r="M616" s="940"/>
    </row>
    <row r="617" spans="1:13" ht="33.75">
      <c r="A617" s="932"/>
      <c r="B617" s="938" t="s">
        <v>530</v>
      </c>
      <c r="C617" s="1525"/>
      <c r="D617" s="945" t="s">
        <v>346</v>
      </c>
      <c r="E617" s="950">
        <f>E618</f>
        <v>28000</v>
      </c>
      <c r="F617" s="954">
        <f aca="true" t="shared" si="113" ref="F617:L617">F618</f>
        <v>0</v>
      </c>
      <c r="G617" s="947">
        <f t="shared" si="113"/>
        <v>28000</v>
      </c>
      <c r="H617" s="950">
        <f t="shared" si="113"/>
        <v>1152</v>
      </c>
      <c r="I617" s="954">
        <f t="shared" si="113"/>
        <v>0</v>
      </c>
      <c r="J617" s="959">
        <f t="shared" si="98"/>
        <v>0.04114285714285714</v>
      </c>
      <c r="K617" s="954">
        <f t="shared" si="113"/>
        <v>0</v>
      </c>
      <c r="L617" s="1439">
        <f t="shared" si="113"/>
        <v>0</v>
      </c>
      <c r="M617" s="940"/>
    </row>
    <row r="618" spans="1:13" ht="12.75">
      <c r="A618" s="935"/>
      <c r="B618" s="935"/>
      <c r="C618" s="936" t="s">
        <v>544</v>
      </c>
      <c r="D618" s="946" t="s">
        <v>17</v>
      </c>
      <c r="E618" s="951">
        <v>28000</v>
      </c>
      <c r="F618" s="955">
        <f>G618-E618</f>
        <v>0</v>
      </c>
      <c r="G618" s="949">
        <v>28000</v>
      </c>
      <c r="H618" s="958">
        <v>1152</v>
      </c>
      <c r="I618" s="941">
        <v>0</v>
      </c>
      <c r="J618" s="1250">
        <f t="shared" si="98"/>
        <v>0.04114285714285714</v>
      </c>
      <c r="K618" s="941">
        <v>0</v>
      </c>
      <c r="L618" s="941">
        <v>0</v>
      </c>
      <c r="M618" s="940"/>
    </row>
    <row r="619" spans="1:13" ht="12.75">
      <c r="A619" s="935"/>
      <c r="B619" s="992" t="s">
        <v>861</v>
      </c>
      <c r="C619" s="1525"/>
      <c r="D619" s="1525"/>
      <c r="E619" s="1519">
        <f>E620+E621+E622</f>
        <v>50000</v>
      </c>
      <c r="F619" s="1519">
        <f>F620+F621+F622</f>
        <v>21472.2</v>
      </c>
      <c r="G619" s="1519">
        <f>G620+G621+G622</f>
        <v>71472.2</v>
      </c>
      <c r="H619" s="1519">
        <f>H620+H621+H622</f>
        <v>24745.16</v>
      </c>
      <c r="I619" s="1519">
        <f>I620+I621+I622</f>
        <v>0</v>
      </c>
      <c r="J619" s="1533">
        <f>H619/G619</f>
        <v>0.34622076835468896</v>
      </c>
      <c r="K619" s="1520">
        <f>K620+K621+K622</f>
        <v>0</v>
      </c>
      <c r="L619" s="1520">
        <f>L620+L621+L622</f>
        <v>0</v>
      </c>
      <c r="M619" s="940"/>
    </row>
    <row r="620" spans="1:13" ht="12.75">
      <c r="A620" s="935"/>
      <c r="B620" s="935"/>
      <c r="C620" s="984" t="s">
        <v>640</v>
      </c>
      <c r="D620" s="946"/>
      <c r="E620" s="951">
        <v>30000</v>
      </c>
      <c r="F620" s="955">
        <f>G620-E620</f>
        <v>0</v>
      </c>
      <c r="G620" s="1528">
        <v>30000</v>
      </c>
      <c r="H620" s="941">
        <v>0</v>
      </c>
      <c r="I620" s="941">
        <v>0</v>
      </c>
      <c r="J620" s="1250">
        <v>0</v>
      </c>
      <c r="K620" s="941">
        <v>0</v>
      </c>
      <c r="L620" s="941">
        <v>0</v>
      </c>
      <c r="M620" s="940"/>
    </row>
    <row r="621" spans="1:13" ht="12.75">
      <c r="A621" s="935"/>
      <c r="B621" s="935"/>
      <c r="C621" s="984" t="s">
        <v>324</v>
      </c>
      <c r="D621" s="946" t="s">
        <v>15</v>
      </c>
      <c r="E621" s="951">
        <v>10000</v>
      </c>
      <c r="F621" s="955">
        <f>G621-E621</f>
        <v>6472.200000000001</v>
      </c>
      <c r="G621" s="1528">
        <v>16472.2</v>
      </c>
      <c r="H621" s="941">
        <v>10473.82</v>
      </c>
      <c r="I621" s="941">
        <v>0</v>
      </c>
      <c r="J621" s="1250">
        <f>H621/G621</f>
        <v>0.6358482777042532</v>
      </c>
      <c r="K621" s="941">
        <v>0</v>
      </c>
      <c r="L621" s="941">
        <v>0</v>
      </c>
      <c r="M621" s="940"/>
    </row>
    <row r="622" spans="1:13" ht="12.75">
      <c r="A622" s="935"/>
      <c r="B622" s="935"/>
      <c r="C622" s="984" t="s">
        <v>325</v>
      </c>
      <c r="D622" s="946" t="s">
        <v>16</v>
      </c>
      <c r="E622" s="951">
        <v>10000</v>
      </c>
      <c r="F622" s="955">
        <f>G622-E622</f>
        <v>15000</v>
      </c>
      <c r="G622" s="1528">
        <v>25000</v>
      </c>
      <c r="H622" s="941">
        <v>14271.34</v>
      </c>
      <c r="I622" s="941">
        <v>0</v>
      </c>
      <c r="J622" s="1250">
        <f>H622/G622</f>
        <v>0.5708536</v>
      </c>
      <c r="K622" s="941">
        <v>0</v>
      </c>
      <c r="L622" s="941">
        <v>0</v>
      </c>
      <c r="M622" s="940"/>
    </row>
    <row r="623" spans="1:13" ht="15">
      <c r="A623" s="932"/>
      <c r="B623" s="938" t="s">
        <v>531</v>
      </c>
      <c r="C623" s="933"/>
      <c r="D623" s="945" t="s">
        <v>10</v>
      </c>
      <c r="E623" s="950">
        <f>E624+E625+E626+E627+E628+E630+E631+E632+E629</f>
        <v>328963</v>
      </c>
      <c r="F623" s="950">
        <f>F624+F625+F626+F627+F628+F630+F631+F632</f>
        <v>49767</v>
      </c>
      <c r="G623" s="950">
        <f>G624+G625+G626+G627+G628+G630+G631+G632</f>
        <v>364730</v>
      </c>
      <c r="H623" s="950">
        <f>H624+H625+H626+H627+H628+H630+H631+H632</f>
        <v>344699.99</v>
      </c>
      <c r="I623" s="950">
        <f>I624+I625+I626+I627+I628+I630+I631+I632</f>
        <v>0</v>
      </c>
      <c r="J623" s="1537">
        <f aca="true" t="shared" si="114" ref="J623:J689">H623/G623</f>
        <v>0.945082636470814</v>
      </c>
      <c r="K623" s="1536">
        <f>K624+K625+K626+K627+K628+K630</f>
        <v>17345.600000000002</v>
      </c>
      <c r="L623" s="1538">
        <f>L624+L625+L626+L627+L628+L630</f>
        <v>0</v>
      </c>
      <c r="M623" s="940"/>
    </row>
    <row r="624" spans="1:13" ht="12.75">
      <c r="A624" s="935"/>
      <c r="B624" s="935"/>
      <c r="C624" s="936" t="s">
        <v>333</v>
      </c>
      <c r="D624" s="946" t="s">
        <v>13</v>
      </c>
      <c r="E624" s="951">
        <v>4446</v>
      </c>
      <c r="F624" s="955">
        <f aca="true" t="shared" si="115" ref="F624:F632">G624-E624</f>
        <v>-4343</v>
      </c>
      <c r="G624" s="949">
        <v>103</v>
      </c>
      <c r="H624" s="958">
        <v>102.6</v>
      </c>
      <c r="I624" s="941">
        <v>0</v>
      </c>
      <c r="J624" s="1250">
        <f t="shared" si="114"/>
        <v>0.9961165048543689</v>
      </c>
      <c r="K624" s="941">
        <v>0</v>
      </c>
      <c r="L624" s="941">
        <v>0</v>
      </c>
      <c r="M624" s="940"/>
    </row>
    <row r="625" spans="1:13" ht="33.75">
      <c r="A625" s="935"/>
      <c r="B625" s="935"/>
      <c r="C625" s="936" t="s">
        <v>334</v>
      </c>
      <c r="D625" s="1266" t="s">
        <v>875</v>
      </c>
      <c r="E625" s="951">
        <v>637</v>
      </c>
      <c r="F625" s="955">
        <f t="shared" si="115"/>
        <v>-622</v>
      </c>
      <c r="G625" s="949">
        <v>15</v>
      </c>
      <c r="H625" s="958">
        <v>14.7</v>
      </c>
      <c r="I625" s="941">
        <v>0</v>
      </c>
      <c r="J625" s="1250">
        <f t="shared" si="114"/>
        <v>0.98</v>
      </c>
      <c r="K625" s="941">
        <v>0</v>
      </c>
      <c r="L625" s="941">
        <v>0</v>
      </c>
      <c r="M625" s="940"/>
    </row>
    <row r="626" spans="1:13" ht="12.75">
      <c r="A626" s="935"/>
      <c r="B626" s="935"/>
      <c r="C626" s="936" t="s">
        <v>331</v>
      </c>
      <c r="D626" s="946" t="s">
        <v>28</v>
      </c>
      <c r="E626" s="951">
        <v>26000</v>
      </c>
      <c r="F626" s="955">
        <f t="shared" si="115"/>
        <v>-23840</v>
      </c>
      <c r="G626" s="949">
        <v>2160</v>
      </c>
      <c r="H626" s="958">
        <v>2160</v>
      </c>
      <c r="I626" s="941">
        <v>0</v>
      </c>
      <c r="J626" s="1250">
        <f t="shared" si="114"/>
        <v>1</v>
      </c>
      <c r="K626" s="941">
        <v>0</v>
      </c>
      <c r="L626" s="941">
        <v>0</v>
      </c>
      <c r="M626" s="940"/>
    </row>
    <row r="627" spans="1:13" ht="12.75">
      <c r="A627" s="935"/>
      <c r="B627" s="935"/>
      <c r="C627" s="936" t="s">
        <v>324</v>
      </c>
      <c r="D627" s="946" t="s">
        <v>15</v>
      </c>
      <c r="E627" s="951">
        <v>73000</v>
      </c>
      <c r="F627" s="955">
        <f t="shared" si="115"/>
        <v>-66050</v>
      </c>
      <c r="G627" s="949">
        <v>6950</v>
      </c>
      <c r="H627" s="958">
        <v>6719.9</v>
      </c>
      <c r="I627" s="941">
        <v>0</v>
      </c>
      <c r="J627" s="1250">
        <f t="shared" si="114"/>
        <v>0.9668920863309352</v>
      </c>
      <c r="K627" s="941">
        <v>0</v>
      </c>
      <c r="L627" s="941">
        <v>0</v>
      </c>
      <c r="M627" s="940"/>
    </row>
    <row r="628" spans="1:13" ht="12.75">
      <c r="A628" s="935"/>
      <c r="B628" s="935"/>
      <c r="C628" s="936" t="s">
        <v>546</v>
      </c>
      <c r="D628" s="946" t="s">
        <v>37</v>
      </c>
      <c r="E628" s="951">
        <v>180000</v>
      </c>
      <c r="F628" s="955">
        <f t="shared" si="115"/>
        <v>34000</v>
      </c>
      <c r="G628" s="949">
        <v>214000</v>
      </c>
      <c r="H628" s="958">
        <v>201697.46</v>
      </c>
      <c r="I628" s="941">
        <v>0</v>
      </c>
      <c r="J628" s="1250">
        <f t="shared" si="114"/>
        <v>0.9425114953271028</v>
      </c>
      <c r="K628" s="941">
        <v>14308.7</v>
      </c>
      <c r="L628" s="941">
        <v>0</v>
      </c>
      <c r="M628" s="940"/>
    </row>
    <row r="629" spans="1:13" ht="12.75">
      <c r="A629" s="935"/>
      <c r="B629" s="935"/>
      <c r="C629" s="984" t="s">
        <v>552</v>
      </c>
      <c r="D629" s="1266" t="s">
        <v>74</v>
      </c>
      <c r="E629" s="951">
        <v>14000</v>
      </c>
      <c r="F629" s="955">
        <f t="shared" si="115"/>
        <v>-14000</v>
      </c>
      <c r="G629" s="949">
        <v>0</v>
      </c>
      <c r="H629" s="958">
        <v>0</v>
      </c>
      <c r="I629" s="941"/>
      <c r="J629" s="1250" t="e">
        <f t="shared" si="114"/>
        <v>#DIV/0!</v>
      </c>
      <c r="K629" s="941"/>
      <c r="L629" s="941"/>
      <c r="M629" s="940"/>
    </row>
    <row r="630" spans="1:13" ht="12.75">
      <c r="A630" s="935"/>
      <c r="B630" s="935"/>
      <c r="C630" s="936" t="s">
        <v>325</v>
      </c>
      <c r="D630" s="946" t="s">
        <v>16</v>
      </c>
      <c r="E630" s="951">
        <v>28000</v>
      </c>
      <c r="F630" s="955">
        <f t="shared" si="115"/>
        <v>66322</v>
      </c>
      <c r="G630" s="949">
        <v>94322</v>
      </c>
      <c r="H630" s="958">
        <v>86963.57</v>
      </c>
      <c r="I630" s="941">
        <v>0</v>
      </c>
      <c r="J630" s="1250">
        <f t="shared" si="114"/>
        <v>0.9219860689976889</v>
      </c>
      <c r="K630" s="941">
        <v>3036.9</v>
      </c>
      <c r="L630" s="941">
        <v>0</v>
      </c>
      <c r="M630" s="940"/>
    </row>
    <row r="631" spans="1:13" ht="22.5">
      <c r="A631" s="935"/>
      <c r="B631" s="935"/>
      <c r="C631" s="984" t="s">
        <v>335</v>
      </c>
      <c r="D631" s="946" t="s">
        <v>553</v>
      </c>
      <c r="E631" s="951">
        <v>2880</v>
      </c>
      <c r="F631" s="955">
        <f t="shared" si="115"/>
        <v>-700</v>
      </c>
      <c r="G631" s="1528">
        <v>2180</v>
      </c>
      <c r="H631" s="1382">
        <v>2041.76</v>
      </c>
      <c r="I631" s="941">
        <v>0</v>
      </c>
      <c r="J631" s="1250">
        <f t="shared" si="114"/>
        <v>0.9365871559633028</v>
      </c>
      <c r="K631" s="941">
        <v>0</v>
      </c>
      <c r="L631" s="1309">
        <v>0</v>
      </c>
      <c r="M631" s="940"/>
    </row>
    <row r="632" spans="1:13" ht="67.5">
      <c r="A632" s="935"/>
      <c r="B632" s="935"/>
      <c r="C632" s="984" t="s">
        <v>170</v>
      </c>
      <c r="D632" s="946" t="s">
        <v>613</v>
      </c>
      <c r="E632" s="951">
        <v>0</v>
      </c>
      <c r="F632" s="955">
        <f t="shared" si="115"/>
        <v>45000</v>
      </c>
      <c r="G632" s="1528">
        <v>45000</v>
      </c>
      <c r="H632" s="1620">
        <v>45000</v>
      </c>
      <c r="I632" s="941">
        <v>0</v>
      </c>
      <c r="J632" s="1250">
        <f t="shared" si="114"/>
        <v>1</v>
      </c>
      <c r="K632" s="941">
        <v>0</v>
      </c>
      <c r="L632" s="941">
        <v>0</v>
      </c>
      <c r="M632" s="940"/>
    </row>
    <row r="633" spans="1:13" ht="22.5">
      <c r="A633" s="965" t="s">
        <v>213</v>
      </c>
      <c r="B633" s="965"/>
      <c r="C633" s="965"/>
      <c r="D633" s="966" t="s">
        <v>235</v>
      </c>
      <c r="E633" s="967">
        <f>E634+E640+E652+E655+E660+E662+E666</f>
        <v>2977119.16</v>
      </c>
      <c r="F633" s="963">
        <f aca="true" t="shared" si="116" ref="F633:L633">F634+F640+F652+F655+F660+F662+F666</f>
        <v>541729.4</v>
      </c>
      <c r="G633" s="968">
        <f t="shared" si="116"/>
        <v>3518848.56</v>
      </c>
      <c r="H633" s="967">
        <f t="shared" si="116"/>
        <v>3482302.3999999994</v>
      </c>
      <c r="I633" s="963">
        <f t="shared" si="116"/>
        <v>0</v>
      </c>
      <c r="J633" s="964">
        <f t="shared" si="114"/>
        <v>0.9896141708354733</v>
      </c>
      <c r="K633" s="963">
        <f>K634+K640+K652+K655+K660+K662+K666</f>
        <v>6625.14</v>
      </c>
      <c r="L633" s="1438">
        <f t="shared" si="116"/>
        <v>197302.66999999998</v>
      </c>
      <c r="M633" s="940"/>
    </row>
    <row r="634" spans="1:13" ht="15">
      <c r="A634" s="932"/>
      <c r="B634" s="938" t="s">
        <v>713</v>
      </c>
      <c r="C634" s="933"/>
      <c r="D634" s="945" t="s">
        <v>272</v>
      </c>
      <c r="E634" s="950">
        <f>E635+E636+E637+E638+E639</f>
        <v>31000</v>
      </c>
      <c r="F634" s="954">
        <f aca="true" t="shared" si="117" ref="F634:L634">F635+F636+F637+F638+F639</f>
        <v>20529</v>
      </c>
      <c r="G634" s="947">
        <f t="shared" si="117"/>
        <v>51529</v>
      </c>
      <c r="H634" s="950">
        <f t="shared" si="117"/>
        <v>30728.77</v>
      </c>
      <c r="I634" s="954">
        <f t="shared" si="117"/>
        <v>0</v>
      </c>
      <c r="J634" s="959">
        <f t="shared" si="114"/>
        <v>0.5963393428942926</v>
      </c>
      <c r="K634" s="954">
        <f t="shared" si="117"/>
        <v>0</v>
      </c>
      <c r="L634" s="1439">
        <f t="shared" si="117"/>
        <v>1000</v>
      </c>
      <c r="M634" s="940"/>
    </row>
    <row r="635" spans="1:13" ht="78.75">
      <c r="A635" s="935"/>
      <c r="B635" s="935"/>
      <c r="C635" s="936" t="s">
        <v>505</v>
      </c>
      <c r="D635" s="946" t="s">
        <v>617</v>
      </c>
      <c r="E635" s="951">
        <v>9000</v>
      </c>
      <c r="F635" s="955">
        <f>G635-E635</f>
        <v>17000</v>
      </c>
      <c r="G635" s="949">
        <v>26000</v>
      </c>
      <c r="H635" s="958">
        <v>25700</v>
      </c>
      <c r="I635" s="941">
        <v>0</v>
      </c>
      <c r="J635" s="1250">
        <f t="shared" si="114"/>
        <v>0.9884615384615385</v>
      </c>
      <c r="K635" s="941">
        <v>0</v>
      </c>
      <c r="L635" s="941">
        <v>0</v>
      </c>
      <c r="M635" s="940"/>
    </row>
    <row r="636" spans="1:13" ht="12.75">
      <c r="A636" s="935"/>
      <c r="B636" s="935"/>
      <c r="C636" s="936" t="s">
        <v>333</v>
      </c>
      <c r="D636" s="946" t="s">
        <v>13</v>
      </c>
      <c r="E636" s="951">
        <v>0</v>
      </c>
      <c r="F636" s="955">
        <f>G636-E636</f>
        <v>1057</v>
      </c>
      <c r="G636" s="949">
        <v>1057</v>
      </c>
      <c r="H636" s="958">
        <v>1056.77</v>
      </c>
      <c r="I636" s="941">
        <v>0</v>
      </c>
      <c r="J636" s="1250">
        <f t="shared" si="114"/>
        <v>0.9997824030274362</v>
      </c>
      <c r="K636" s="941">
        <v>0</v>
      </c>
      <c r="L636" s="941">
        <v>0</v>
      </c>
      <c r="M636" s="940"/>
    </row>
    <row r="637" spans="1:13" ht="12.75">
      <c r="A637" s="935"/>
      <c r="B637" s="935"/>
      <c r="C637" s="936" t="s">
        <v>331</v>
      </c>
      <c r="D637" s="946" t="s">
        <v>28</v>
      </c>
      <c r="E637" s="951">
        <v>1000</v>
      </c>
      <c r="F637" s="955">
        <f>G637-E637</f>
        <v>2472</v>
      </c>
      <c r="G637" s="949">
        <v>3472</v>
      </c>
      <c r="H637" s="958">
        <v>2472</v>
      </c>
      <c r="I637" s="941">
        <v>0</v>
      </c>
      <c r="J637" s="1250">
        <f t="shared" si="114"/>
        <v>0.7119815668202765</v>
      </c>
      <c r="K637" s="941">
        <v>0</v>
      </c>
      <c r="L637" s="941">
        <v>0</v>
      </c>
      <c r="M637" s="940"/>
    </row>
    <row r="638" spans="1:13" ht="12.75">
      <c r="A638" s="935"/>
      <c r="B638" s="935"/>
      <c r="C638" s="936" t="s">
        <v>324</v>
      </c>
      <c r="D638" s="946" t="s">
        <v>15</v>
      </c>
      <c r="E638" s="951">
        <v>10500</v>
      </c>
      <c r="F638" s="955">
        <f>G638-E638</f>
        <v>0</v>
      </c>
      <c r="G638" s="949">
        <v>10500</v>
      </c>
      <c r="H638" s="958">
        <v>500</v>
      </c>
      <c r="I638" s="941">
        <v>0</v>
      </c>
      <c r="J638" s="1250">
        <f t="shared" si="114"/>
        <v>0.047619047619047616</v>
      </c>
      <c r="K638" s="941">
        <v>0</v>
      </c>
      <c r="L638" s="941">
        <v>500</v>
      </c>
      <c r="M638" s="940"/>
    </row>
    <row r="639" spans="1:13" ht="12.75">
      <c r="A639" s="935"/>
      <c r="B639" s="935"/>
      <c r="C639" s="936" t="s">
        <v>325</v>
      </c>
      <c r="D639" s="946" t="s">
        <v>16</v>
      </c>
      <c r="E639" s="951">
        <v>10500</v>
      </c>
      <c r="F639" s="955">
        <f>G639-E639</f>
        <v>0</v>
      </c>
      <c r="G639" s="949">
        <v>10500</v>
      </c>
      <c r="H639" s="958">
        <v>1000</v>
      </c>
      <c r="I639" s="941">
        <v>0</v>
      </c>
      <c r="J639" s="1250">
        <f t="shared" si="114"/>
        <v>0.09523809523809523</v>
      </c>
      <c r="K639" s="941">
        <v>0</v>
      </c>
      <c r="L639" s="941">
        <v>500</v>
      </c>
      <c r="M639" s="940"/>
    </row>
    <row r="640" spans="1:13" ht="15">
      <c r="A640" s="932"/>
      <c r="B640" s="938" t="s">
        <v>214</v>
      </c>
      <c r="C640" s="933"/>
      <c r="D640" s="945" t="s">
        <v>236</v>
      </c>
      <c r="E640" s="950">
        <f>E641+E642+E643+E644+E645+E646+E647+E648+E649+E650+E651</f>
        <v>1755219.58</v>
      </c>
      <c r="F640" s="954">
        <f aca="true" t="shared" si="118" ref="F640:L640">F641+F642+F643+F644+F645+F646+F647+F648+F649+F650+F651</f>
        <v>648602.3200000001</v>
      </c>
      <c r="G640" s="947">
        <f t="shared" si="118"/>
        <v>2403821.9</v>
      </c>
      <c r="H640" s="950">
        <f t="shared" si="118"/>
        <v>2392399.1199999996</v>
      </c>
      <c r="I640" s="954">
        <f t="shared" si="118"/>
        <v>0</v>
      </c>
      <c r="J640" s="959">
        <f t="shared" si="114"/>
        <v>0.9952480755749832</v>
      </c>
      <c r="K640" s="954">
        <f t="shared" si="118"/>
        <v>6625.14</v>
      </c>
      <c r="L640" s="1439">
        <f t="shared" si="118"/>
        <v>121182.23</v>
      </c>
      <c r="M640" s="940"/>
    </row>
    <row r="641" spans="1:13" ht="22.5">
      <c r="A641" s="935"/>
      <c r="B641" s="935"/>
      <c r="C641" s="936" t="s">
        <v>714</v>
      </c>
      <c r="D641" s="946" t="s">
        <v>237</v>
      </c>
      <c r="E641" s="951">
        <v>1524971</v>
      </c>
      <c r="F641" s="955">
        <f>G641-E641</f>
        <v>519925</v>
      </c>
      <c r="G641" s="949">
        <v>2044896</v>
      </c>
      <c r="H641" s="958">
        <v>2044896</v>
      </c>
      <c r="I641" s="941">
        <v>0</v>
      </c>
      <c r="J641" s="1250">
        <f t="shared" si="114"/>
        <v>1</v>
      </c>
      <c r="K641" s="941">
        <v>0</v>
      </c>
      <c r="L641" s="941">
        <v>0</v>
      </c>
      <c r="M641" s="940"/>
    </row>
    <row r="642" spans="1:13" ht="12.75">
      <c r="A642" s="935"/>
      <c r="B642" s="935"/>
      <c r="C642" s="936" t="s">
        <v>333</v>
      </c>
      <c r="D642" s="946" t="s">
        <v>13</v>
      </c>
      <c r="E642" s="951">
        <v>0</v>
      </c>
      <c r="F642" s="955">
        <f aca="true" t="shared" si="119" ref="F642:F651">G642-E642</f>
        <v>600</v>
      </c>
      <c r="G642" s="949">
        <v>600</v>
      </c>
      <c r="H642" s="958">
        <v>427.5</v>
      </c>
      <c r="I642" s="941">
        <v>0</v>
      </c>
      <c r="J642" s="1250">
        <v>0</v>
      </c>
      <c r="K642" s="941">
        <v>85.5</v>
      </c>
      <c r="L642" s="941">
        <v>0</v>
      </c>
      <c r="M642" s="940"/>
    </row>
    <row r="643" spans="1:13" ht="33.75">
      <c r="A643" s="935"/>
      <c r="B643" s="935"/>
      <c r="C643" s="936" t="s">
        <v>334</v>
      </c>
      <c r="D643" s="1266" t="s">
        <v>875</v>
      </c>
      <c r="E643" s="951">
        <v>0</v>
      </c>
      <c r="F643" s="955">
        <f t="shared" si="119"/>
        <v>100</v>
      </c>
      <c r="G643" s="949">
        <v>100</v>
      </c>
      <c r="H643" s="958">
        <v>61.25</v>
      </c>
      <c r="I643" s="941">
        <v>0</v>
      </c>
      <c r="J643" s="1250">
        <v>0</v>
      </c>
      <c r="K643" s="941">
        <v>12.25</v>
      </c>
      <c r="L643" s="941">
        <v>0</v>
      </c>
      <c r="M643" s="940"/>
    </row>
    <row r="644" spans="1:13" ht="12.75">
      <c r="A644" s="935"/>
      <c r="B644" s="935"/>
      <c r="C644" s="936" t="s">
        <v>331</v>
      </c>
      <c r="D644" s="946" t="s">
        <v>28</v>
      </c>
      <c r="E644" s="951">
        <v>12000</v>
      </c>
      <c r="F644" s="955">
        <f t="shared" si="119"/>
        <v>0</v>
      </c>
      <c r="G644" s="949">
        <v>12000</v>
      </c>
      <c r="H644" s="958">
        <v>11517.77</v>
      </c>
      <c r="I644" s="941">
        <v>0</v>
      </c>
      <c r="J644" s="1250">
        <f t="shared" si="114"/>
        <v>0.9598141666666667</v>
      </c>
      <c r="K644" s="941">
        <v>382.23</v>
      </c>
      <c r="L644" s="941">
        <v>11517.77</v>
      </c>
      <c r="M644" s="940"/>
    </row>
    <row r="645" spans="1:13" ht="12.75">
      <c r="A645" s="935"/>
      <c r="B645" s="935"/>
      <c r="C645" s="936" t="s">
        <v>324</v>
      </c>
      <c r="D645" s="946" t="s">
        <v>15</v>
      </c>
      <c r="E645" s="951">
        <v>50750.87</v>
      </c>
      <c r="F645" s="955">
        <f t="shared" si="119"/>
        <v>16777.870000000003</v>
      </c>
      <c r="G645" s="949">
        <v>67528.74</v>
      </c>
      <c r="H645" s="958">
        <v>67059.11</v>
      </c>
      <c r="I645" s="941">
        <v>0</v>
      </c>
      <c r="J645" s="1250">
        <f t="shared" si="114"/>
        <v>0.9930454795987604</v>
      </c>
      <c r="K645" s="941">
        <v>0</v>
      </c>
      <c r="L645" s="941">
        <v>54941.52</v>
      </c>
      <c r="M645" s="940"/>
    </row>
    <row r="646" spans="1:13" ht="12.75">
      <c r="A646" s="935"/>
      <c r="B646" s="935"/>
      <c r="C646" s="936" t="s">
        <v>546</v>
      </c>
      <c r="D646" s="946" t="s">
        <v>37</v>
      </c>
      <c r="E646" s="951">
        <v>61000</v>
      </c>
      <c r="F646" s="955">
        <f t="shared" si="119"/>
        <v>0</v>
      </c>
      <c r="G646" s="949">
        <v>61000</v>
      </c>
      <c r="H646" s="958">
        <v>53938.07</v>
      </c>
      <c r="I646" s="941">
        <v>0</v>
      </c>
      <c r="J646" s="1250">
        <f t="shared" si="114"/>
        <v>0.8842306557377049</v>
      </c>
      <c r="K646" s="941">
        <v>3260.07</v>
      </c>
      <c r="L646" s="941">
        <v>0</v>
      </c>
      <c r="M646" s="940"/>
    </row>
    <row r="647" spans="1:13" ht="12.75">
      <c r="A647" s="935"/>
      <c r="B647" s="935"/>
      <c r="C647" s="936" t="s">
        <v>552</v>
      </c>
      <c r="D647" s="946" t="s">
        <v>74</v>
      </c>
      <c r="E647" s="951">
        <v>0</v>
      </c>
      <c r="F647" s="955">
        <f t="shared" si="119"/>
        <v>0</v>
      </c>
      <c r="G647" s="949">
        <v>0</v>
      </c>
      <c r="H647" s="958">
        <v>0</v>
      </c>
      <c r="I647" s="941">
        <v>0</v>
      </c>
      <c r="J647" s="1250">
        <v>0</v>
      </c>
      <c r="K647" s="941">
        <v>0</v>
      </c>
      <c r="L647" s="941">
        <v>0</v>
      </c>
      <c r="M647" s="940"/>
    </row>
    <row r="648" spans="1:13" ht="12.75">
      <c r="A648" s="935"/>
      <c r="B648" s="935"/>
      <c r="C648" s="936" t="s">
        <v>325</v>
      </c>
      <c r="D648" s="946" t="s">
        <v>16</v>
      </c>
      <c r="E648" s="951">
        <v>105168.71</v>
      </c>
      <c r="F648" s="955">
        <f t="shared" si="119"/>
        <v>28738.87999999999</v>
      </c>
      <c r="G648" s="949">
        <v>133907.59</v>
      </c>
      <c r="H648" s="958">
        <v>130896.02</v>
      </c>
      <c r="I648" s="941">
        <v>0</v>
      </c>
      <c r="J648" s="1250">
        <f t="shared" si="114"/>
        <v>0.9775100873669671</v>
      </c>
      <c r="K648" s="941">
        <v>2885.09</v>
      </c>
      <c r="L648" s="941">
        <v>53542.14</v>
      </c>
      <c r="M648" s="940"/>
    </row>
    <row r="649" spans="1:13" ht="22.5">
      <c r="A649" s="935"/>
      <c r="B649" s="935"/>
      <c r="C649" s="936" t="s">
        <v>335</v>
      </c>
      <c r="D649" s="946" t="s">
        <v>553</v>
      </c>
      <c r="E649" s="951">
        <v>1329</v>
      </c>
      <c r="F649" s="955">
        <f t="shared" si="119"/>
        <v>-148.20000000000005</v>
      </c>
      <c r="G649" s="949">
        <v>1180.8</v>
      </c>
      <c r="H649" s="958">
        <v>1180.8</v>
      </c>
      <c r="I649" s="941">
        <v>0</v>
      </c>
      <c r="J649" s="1250">
        <f t="shared" si="114"/>
        <v>1</v>
      </c>
      <c r="K649" s="941">
        <v>0</v>
      </c>
      <c r="L649" s="941">
        <v>1180.8</v>
      </c>
      <c r="M649" s="940"/>
    </row>
    <row r="650" spans="1:13" ht="22.5">
      <c r="A650" s="935"/>
      <c r="B650" s="935"/>
      <c r="C650" s="936" t="s">
        <v>127</v>
      </c>
      <c r="D650" s="946" t="s">
        <v>41</v>
      </c>
      <c r="E650" s="951">
        <v>0</v>
      </c>
      <c r="F650" s="955">
        <f t="shared" si="119"/>
        <v>82608.77</v>
      </c>
      <c r="G650" s="949">
        <v>82608.77</v>
      </c>
      <c r="H650" s="958">
        <v>82422.6</v>
      </c>
      <c r="I650" s="941">
        <v>0</v>
      </c>
      <c r="J650" s="1250">
        <f t="shared" si="114"/>
        <v>0.9977463651861661</v>
      </c>
      <c r="K650" s="941">
        <v>0</v>
      </c>
      <c r="L650" s="941">
        <v>0</v>
      </c>
      <c r="M650" s="940"/>
    </row>
    <row r="651" spans="1:13" ht="56.25" hidden="1">
      <c r="A651" s="935"/>
      <c r="B651" s="935"/>
      <c r="C651" s="936" t="s">
        <v>188</v>
      </c>
      <c r="D651" s="946" t="s">
        <v>669</v>
      </c>
      <c r="E651" s="951">
        <v>0</v>
      </c>
      <c r="F651" s="955">
        <f t="shared" si="119"/>
        <v>0</v>
      </c>
      <c r="G651" s="949">
        <v>0</v>
      </c>
      <c r="H651" s="958">
        <v>0</v>
      </c>
      <c r="I651" s="941">
        <v>0</v>
      </c>
      <c r="J651" s="1250">
        <v>0</v>
      </c>
      <c r="K651" s="941">
        <v>0</v>
      </c>
      <c r="L651" s="941">
        <v>0</v>
      </c>
      <c r="M651" s="940"/>
    </row>
    <row r="652" spans="1:13" ht="15">
      <c r="A652" s="932"/>
      <c r="B652" s="938" t="s">
        <v>336</v>
      </c>
      <c r="C652" s="933"/>
      <c r="D652" s="945" t="s">
        <v>238</v>
      </c>
      <c r="E652" s="950">
        <f>E653+E654</f>
        <v>371742</v>
      </c>
      <c r="F652" s="954">
        <f aca="true" t="shared" si="120" ref="F652:K652">F653+F654</f>
        <v>-6000</v>
      </c>
      <c r="G652" s="947">
        <f t="shared" si="120"/>
        <v>365742</v>
      </c>
      <c r="H652" s="950">
        <f t="shared" si="120"/>
        <v>365742</v>
      </c>
      <c r="I652" s="954">
        <f>I653+I654</f>
        <v>0</v>
      </c>
      <c r="J652" s="959">
        <f t="shared" si="114"/>
        <v>1</v>
      </c>
      <c r="K652" s="954">
        <f t="shared" si="120"/>
        <v>0</v>
      </c>
      <c r="L652" s="1439">
        <f>L653+L654</f>
        <v>0</v>
      </c>
      <c r="M652" s="940"/>
    </row>
    <row r="653" spans="1:13" ht="22.5">
      <c r="A653" s="935"/>
      <c r="B653" s="935"/>
      <c r="C653" s="936" t="s">
        <v>714</v>
      </c>
      <c r="D653" s="946" t="s">
        <v>237</v>
      </c>
      <c r="E653" s="951">
        <v>371742</v>
      </c>
      <c r="F653" s="955">
        <f>G653-E653</f>
        <v>-16000</v>
      </c>
      <c r="G653" s="949">
        <v>355742</v>
      </c>
      <c r="H653" s="958">
        <v>355742</v>
      </c>
      <c r="I653" s="941">
        <v>0</v>
      </c>
      <c r="J653" s="1250">
        <f t="shared" si="114"/>
        <v>1</v>
      </c>
      <c r="K653" s="941">
        <v>0</v>
      </c>
      <c r="L653" s="941">
        <v>0</v>
      </c>
      <c r="M653" s="940"/>
    </row>
    <row r="654" spans="1:13" ht="12.75">
      <c r="A654" s="935"/>
      <c r="B654" s="935"/>
      <c r="C654" s="984" t="s">
        <v>552</v>
      </c>
      <c r="D654" s="1266" t="s">
        <v>38</v>
      </c>
      <c r="E654" s="951">
        <v>0</v>
      </c>
      <c r="F654" s="955">
        <f>G654-E654</f>
        <v>10000</v>
      </c>
      <c r="G654" s="949">
        <v>10000</v>
      </c>
      <c r="H654" s="958">
        <v>10000</v>
      </c>
      <c r="I654" s="941">
        <v>0</v>
      </c>
      <c r="J654" s="1250">
        <f t="shared" si="114"/>
        <v>1</v>
      </c>
      <c r="K654" s="941">
        <v>0</v>
      </c>
      <c r="L654" s="941">
        <v>0</v>
      </c>
      <c r="M654" s="940"/>
    </row>
    <row r="655" spans="1:13" ht="15">
      <c r="A655" s="932"/>
      <c r="B655" s="938" t="s">
        <v>216</v>
      </c>
      <c r="C655" s="933"/>
      <c r="D655" s="945" t="s">
        <v>239</v>
      </c>
      <c r="E655" s="950">
        <f>E656+E657+E658+E659</f>
        <v>629190</v>
      </c>
      <c r="F655" s="954">
        <f aca="true" t="shared" si="121" ref="F655:K655">F656+F657+F658+F659</f>
        <v>-114787</v>
      </c>
      <c r="G655" s="947">
        <f t="shared" si="121"/>
        <v>514403</v>
      </c>
      <c r="H655" s="950">
        <f t="shared" si="121"/>
        <v>513970</v>
      </c>
      <c r="I655" s="954">
        <f t="shared" si="121"/>
        <v>0</v>
      </c>
      <c r="J655" s="959">
        <f t="shared" si="114"/>
        <v>0.9991582475218846</v>
      </c>
      <c r="K655" s="954">
        <f t="shared" si="121"/>
        <v>0</v>
      </c>
      <c r="L655" s="1439">
        <f>L656+L657+L658+L659</f>
        <v>0</v>
      </c>
      <c r="M655" s="940"/>
    </row>
    <row r="656" spans="1:13" ht="22.5">
      <c r="A656" s="935"/>
      <c r="B656" s="935"/>
      <c r="C656" s="936" t="s">
        <v>714</v>
      </c>
      <c r="D656" s="946" t="s">
        <v>237</v>
      </c>
      <c r="E656" s="951">
        <v>619590</v>
      </c>
      <c r="F656" s="955">
        <f>G656-E656</f>
        <v>-113000</v>
      </c>
      <c r="G656" s="949">
        <v>506590</v>
      </c>
      <c r="H656" s="958">
        <v>506590</v>
      </c>
      <c r="I656" s="941">
        <v>0</v>
      </c>
      <c r="J656" s="1250">
        <f t="shared" si="114"/>
        <v>1</v>
      </c>
      <c r="K656" s="941">
        <v>0</v>
      </c>
      <c r="L656" s="941">
        <v>0</v>
      </c>
      <c r="M656" s="940"/>
    </row>
    <row r="657" spans="1:13" ht="12.75">
      <c r="A657" s="935"/>
      <c r="B657" s="935"/>
      <c r="C657" s="984" t="s">
        <v>325</v>
      </c>
      <c r="D657" s="1266" t="s">
        <v>16</v>
      </c>
      <c r="E657" s="951">
        <v>9600</v>
      </c>
      <c r="F657" s="955">
        <f>G657-E657</f>
        <v>-1787</v>
      </c>
      <c r="G657" s="949">
        <v>7813</v>
      </c>
      <c r="H657" s="958">
        <v>7380</v>
      </c>
      <c r="I657" s="941">
        <v>0</v>
      </c>
      <c r="J657" s="1250">
        <f t="shared" si="114"/>
        <v>0.9445795469089978</v>
      </c>
      <c r="K657" s="941">
        <v>0</v>
      </c>
      <c r="L657" s="941">
        <v>0</v>
      </c>
      <c r="M657" s="940"/>
    </row>
    <row r="658" spans="1:13" ht="22.5" hidden="1">
      <c r="A658" s="935"/>
      <c r="B658" s="935"/>
      <c r="C658" s="936" t="s">
        <v>218</v>
      </c>
      <c r="D658" s="946" t="s">
        <v>41</v>
      </c>
      <c r="E658" s="951">
        <v>0</v>
      </c>
      <c r="F658" s="955">
        <f>G658-E658</f>
        <v>0</v>
      </c>
      <c r="G658" s="949">
        <v>0</v>
      </c>
      <c r="H658" s="958">
        <v>0</v>
      </c>
      <c r="I658" s="941">
        <v>0</v>
      </c>
      <c r="J658" s="1250">
        <v>0</v>
      </c>
      <c r="K658" s="941">
        <v>0</v>
      </c>
      <c r="L658" s="941">
        <v>0</v>
      </c>
      <c r="M658" s="940"/>
    </row>
    <row r="659" spans="1:13" ht="22.5" hidden="1">
      <c r="A659" s="935"/>
      <c r="B659" s="935"/>
      <c r="C659" s="936" t="s">
        <v>219</v>
      </c>
      <c r="D659" s="946" t="s">
        <v>41</v>
      </c>
      <c r="E659" s="951">
        <v>0</v>
      </c>
      <c r="F659" s="955">
        <f>G659-E659</f>
        <v>0</v>
      </c>
      <c r="G659" s="949">
        <v>0</v>
      </c>
      <c r="H659" s="958">
        <v>0</v>
      </c>
      <c r="I659" s="941">
        <v>0</v>
      </c>
      <c r="J659" s="1250">
        <v>0</v>
      </c>
      <c r="K659" s="941">
        <v>0</v>
      </c>
      <c r="L659" s="941">
        <v>0</v>
      </c>
      <c r="M659" s="940"/>
    </row>
    <row r="660" spans="1:13" ht="22.5">
      <c r="A660" s="932"/>
      <c r="B660" s="938" t="s">
        <v>715</v>
      </c>
      <c r="C660" s="933"/>
      <c r="D660" s="945" t="s">
        <v>273</v>
      </c>
      <c r="E660" s="950">
        <f>E661</f>
        <v>100000</v>
      </c>
      <c r="F660" s="954">
        <f aca="true" t="shared" si="122" ref="F660:L660">F661</f>
        <v>0</v>
      </c>
      <c r="G660" s="947" t="str">
        <f t="shared" si="122"/>
        <v>100 000,00</v>
      </c>
      <c r="H660" s="950">
        <f t="shared" si="122"/>
        <v>100000</v>
      </c>
      <c r="I660" s="954">
        <f t="shared" si="122"/>
        <v>0</v>
      </c>
      <c r="J660" s="959">
        <f t="shared" si="114"/>
        <v>1</v>
      </c>
      <c r="K660" s="954">
        <f t="shared" si="122"/>
        <v>0</v>
      </c>
      <c r="L660" s="1439">
        <f t="shared" si="122"/>
        <v>0</v>
      </c>
      <c r="M660" s="940"/>
    </row>
    <row r="661" spans="1:13" ht="67.5">
      <c r="A661" s="935"/>
      <c r="B661" s="935"/>
      <c r="C661" s="936" t="s">
        <v>717</v>
      </c>
      <c r="D661" s="946" t="s">
        <v>274</v>
      </c>
      <c r="E661" s="951">
        <v>100000</v>
      </c>
      <c r="F661" s="955">
        <f>G661-E661</f>
        <v>0</v>
      </c>
      <c r="G661" s="949" t="s">
        <v>716</v>
      </c>
      <c r="H661" s="958">
        <v>100000</v>
      </c>
      <c r="I661" s="941">
        <v>0</v>
      </c>
      <c r="J661" s="1250">
        <f>H661/G661</f>
        <v>1</v>
      </c>
      <c r="K661" s="941">
        <v>0</v>
      </c>
      <c r="L661" s="941">
        <v>0</v>
      </c>
      <c r="M661" s="940"/>
    </row>
    <row r="662" spans="1:13" ht="33.75">
      <c r="A662" s="932"/>
      <c r="B662" s="938" t="s">
        <v>718</v>
      </c>
      <c r="C662" s="933"/>
      <c r="D662" s="945" t="s">
        <v>719</v>
      </c>
      <c r="E662" s="950">
        <f>E663+E664+E665</f>
        <v>0</v>
      </c>
      <c r="F662" s="954">
        <f>F663+F664+F665</f>
        <v>4345</v>
      </c>
      <c r="G662" s="947">
        <f>G663+G664+G665</f>
        <v>4345</v>
      </c>
      <c r="H662" s="950">
        <f>H663+H664+H665</f>
        <v>4342.07</v>
      </c>
      <c r="I662" s="954">
        <f>I663+I664+I665</f>
        <v>0</v>
      </c>
      <c r="J662" s="959">
        <f t="shared" si="114"/>
        <v>0.999325661680092</v>
      </c>
      <c r="K662" s="954">
        <f>K663+K664+K665</f>
        <v>0</v>
      </c>
      <c r="L662" s="1439">
        <f>L663+L664+L665</f>
        <v>0</v>
      </c>
      <c r="M662" s="940"/>
    </row>
    <row r="663" spans="1:13" ht="12.75">
      <c r="A663" s="935"/>
      <c r="B663" s="935"/>
      <c r="C663" s="936" t="s">
        <v>333</v>
      </c>
      <c r="D663" s="946" t="s">
        <v>13</v>
      </c>
      <c r="E663" s="951">
        <v>0</v>
      </c>
      <c r="F663" s="955">
        <f>G663-E663</f>
        <v>635</v>
      </c>
      <c r="G663" s="949">
        <v>635</v>
      </c>
      <c r="H663" s="958">
        <v>634.07</v>
      </c>
      <c r="I663" s="941">
        <v>0</v>
      </c>
      <c r="J663" s="1250">
        <f t="shared" si="114"/>
        <v>0.9985354330708662</v>
      </c>
      <c r="K663" s="941">
        <v>0</v>
      </c>
      <c r="L663" s="941">
        <v>0</v>
      </c>
      <c r="M663" s="940"/>
    </row>
    <row r="664" spans="1:13" ht="12.75">
      <c r="A664" s="935"/>
      <c r="B664" s="935"/>
      <c r="C664" s="936" t="s">
        <v>331</v>
      </c>
      <c r="D664" s="946" t="s">
        <v>28</v>
      </c>
      <c r="E664" s="951">
        <v>0</v>
      </c>
      <c r="F664" s="955">
        <f>G664-E664</f>
        <v>3710</v>
      </c>
      <c r="G664" s="949">
        <v>3710</v>
      </c>
      <c r="H664" s="958">
        <v>3708</v>
      </c>
      <c r="I664" s="941">
        <v>0</v>
      </c>
      <c r="J664" s="1250">
        <f t="shared" si="114"/>
        <v>0.9994609164420485</v>
      </c>
      <c r="K664" s="941">
        <v>0</v>
      </c>
      <c r="L664" s="941">
        <v>0</v>
      </c>
      <c r="M664" s="940"/>
    </row>
    <row r="665" spans="1:13" ht="12.75">
      <c r="A665" s="935"/>
      <c r="B665" s="935"/>
      <c r="C665" s="936" t="s">
        <v>552</v>
      </c>
      <c r="D665" s="946" t="s">
        <v>74</v>
      </c>
      <c r="E665" s="951">
        <v>0</v>
      </c>
      <c r="F665" s="955">
        <f>G665-E665</f>
        <v>0</v>
      </c>
      <c r="G665" s="949">
        <v>0</v>
      </c>
      <c r="H665" s="958">
        <v>0</v>
      </c>
      <c r="I665" s="941">
        <v>0</v>
      </c>
      <c r="J665" s="1250">
        <v>0</v>
      </c>
      <c r="K665" s="941">
        <v>0</v>
      </c>
      <c r="L665" s="941">
        <v>0</v>
      </c>
      <c r="M665" s="940"/>
    </row>
    <row r="666" spans="1:13" ht="15">
      <c r="A666" s="932"/>
      <c r="B666" s="938" t="s">
        <v>337</v>
      </c>
      <c r="C666" s="933"/>
      <c r="D666" s="945" t="s">
        <v>10</v>
      </c>
      <c r="E666" s="950">
        <f>E667+E668+E669</f>
        <v>89967.58</v>
      </c>
      <c r="F666" s="954">
        <f aca="true" t="shared" si="123" ref="F666:L666">F667+F668+F669</f>
        <v>-10959.920000000002</v>
      </c>
      <c r="G666" s="947">
        <f t="shared" si="123"/>
        <v>79007.66</v>
      </c>
      <c r="H666" s="950">
        <f t="shared" si="123"/>
        <v>75120.44</v>
      </c>
      <c r="I666" s="954">
        <f t="shared" si="123"/>
        <v>0</v>
      </c>
      <c r="J666" s="959">
        <f t="shared" si="114"/>
        <v>0.9507994541288781</v>
      </c>
      <c r="K666" s="954">
        <f t="shared" si="123"/>
        <v>0</v>
      </c>
      <c r="L666" s="1439">
        <f t="shared" si="123"/>
        <v>75120.44</v>
      </c>
      <c r="M666" s="940"/>
    </row>
    <row r="667" spans="1:13" ht="12.75">
      <c r="A667" s="935"/>
      <c r="B667" s="935"/>
      <c r="C667" s="936" t="s">
        <v>331</v>
      </c>
      <c r="D667" s="946" t="s">
        <v>28</v>
      </c>
      <c r="E667" s="951">
        <v>3600</v>
      </c>
      <c r="F667" s="955">
        <f>G667-E667</f>
        <v>0</v>
      </c>
      <c r="G667" s="949">
        <v>3600</v>
      </c>
      <c r="H667" s="958">
        <v>3600</v>
      </c>
      <c r="I667" s="941">
        <v>0</v>
      </c>
      <c r="J667" s="1250">
        <f t="shared" si="114"/>
        <v>1</v>
      </c>
      <c r="K667" s="941">
        <v>0</v>
      </c>
      <c r="L667" s="941">
        <v>3600</v>
      </c>
      <c r="M667" s="940"/>
    </row>
    <row r="668" spans="1:13" ht="12.75">
      <c r="A668" s="935"/>
      <c r="B668" s="935"/>
      <c r="C668" s="936" t="s">
        <v>324</v>
      </c>
      <c r="D668" s="946" t="s">
        <v>15</v>
      </c>
      <c r="E668" s="951">
        <v>57550.49</v>
      </c>
      <c r="F668" s="955">
        <f>G668-E668</f>
        <v>-10909.93</v>
      </c>
      <c r="G668" s="949">
        <v>46640.56</v>
      </c>
      <c r="H668" s="958">
        <v>44654.63</v>
      </c>
      <c r="I668" s="941">
        <v>0</v>
      </c>
      <c r="J668" s="1250">
        <f t="shared" si="114"/>
        <v>0.9574205369746847</v>
      </c>
      <c r="K668" s="941">
        <v>0</v>
      </c>
      <c r="L668" s="941">
        <v>44654.63</v>
      </c>
      <c r="M668" s="940"/>
    </row>
    <row r="669" spans="1:13" ht="12.75">
      <c r="A669" s="935"/>
      <c r="B669" s="935"/>
      <c r="C669" s="936" t="s">
        <v>325</v>
      </c>
      <c r="D669" s="946" t="s">
        <v>16</v>
      </c>
      <c r="E669" s="951">
        <v>28817.09</v>
      </c>
      <c r="F669" s="955">
        <f>G669-E669</f>
        <v>-49.9900000000016</v>
      </c>
      <c r="G669" s="949">
        <v>28767.1</v>
      </c>
      <c r="H669" s="958">
        <v>26865.81</v>
      </c>
      <c r="I669" s="941">
        <v>0</v>
      </c>
      <c r="J669" s="1250">
        <f t="shared" si="114"/>
        <v>0.9339074845917733</v>
      </c>
      <c r="K669" s="941">
        <v>0</v>
      </c>
      <c r="L669" s="941">
        <v>26865.81</v>
      </c>
      <c r="M669" s="940"/>
    </row>
    <row r="670" spans="1:13" ht="12.75">
      <c r="A670" s="965" t="s">
        <v>220</v>
      </c>
      <c r="B670" s="965"/>
      <c r="C670" s="965"/>
      <c r="D670" s="966" t="s">
        <v>320</v>
      </c>
      <c r="E670" s="967">
        <f>E671+E684</f>
        <v>1554244.03</v>
      </c>
      <c r="F670" s="963">
        <f>F671+F684</f>
        <v>213462.76999999996</v>
      </c>
      <c r="G670" s="968">
        <f>G671+G684</f>
        <v>1767706.7999999998</v>
      </c>
      <c r="H670" s="967">
        <f>H671+H684</f>
        <v>1685786.84</v>
      </c>
      <c r="I670" s="963">
        <f>I671+I684</f>
        <v>0</v>
      </c>
      <c r="J670" s="964">
        <f t="shared" si="114"/>
        <v>0.9536574956887648</v>
      </c>
      <c r="K670" s="963">
        <f>K671+K684</f>
        <v>2451.92</v>
      </c>
      <c r="L670" s="1440">
        <f>L671+L684</f>
        <v>48234.41</v>
      </c>
      <c r="M670" s="940"/>
    </row>
    <row r="671" spans="1:13" ht="15">
      <c r="A671" s="932"/>
      <c r="B671" s="938" t="s">
        <v>221</v>
      </c>
      <c r="C671" s="933"/>
      <c r="D671" s="945" t="s">
        <v>321</v>
      </c>
      <c r="E671" s="950">
        <f>E672+E673+E674+E675+E676+E677+E678+E679+E680+E681+E682+E683</f>
        <v>1178926.46</v>
      </c>
      <c r="F671" s="954">
        <f aca="true" t="shared" si="124" ref="F671:L671">F672+F673+F674+F675+F676+F677+F678+F679+F680+F681+F682+F683</f>
        <v>175796.08999999997</v>
      </c>
      <c r="G671" s="947">
        <f t="shared" si="124"/>
        <v>1354722.5499999998</v>
      </c>
      <c r="H671" s="950">
        <f t="shared" si="124"/>
        <v>1319358.28</v>
      </c>
      <c r="I671" s="954">
        <f t="shared" si="124"/>
        <v>0</v>
      </c>
      <c r="J671" s="959">
        <f t="shared" si="114"/>
        <v>0.9738955626006227</v>
      </c>
      <c r="K671" s="954">
        <f>K672+K673+K674+K675+K676+K677+K678+K679+K680+K681+K682+K683</f>
        <v>2022.72</v>
      </c>
      <c r="L671" s="1439">
        <f t="shared" si="124"/>
        <v>41234.93</v>
      </c>
      <c r="M671" s="940"/>
    </row>
    <row r="672" spans="1:13" ht="12.75">
      <c r="A672" s="935"/>
      <c r="B672" s="935"/>
      <c r="C672" s="936" t="s">
        <v>333</v>
      </c>
      <c r="D672" s="946" t="s">
        <v>13</v>
      </c>
      <c r="E672" s="951">
        <v>13924</v>
      </c>
      <c r="F672" s="955">
        <f>G672-E672</f>
        <v>-1000</v>
      </c>
      <c r="G672" s="949">
        <v>12924</v>
      </c>
      <c r="H672" s="958">
        <v>12859.52</v>
      </c>
      <c r="I672" s="941">
        <v>0</v>
      </c>
      <c r="J672" s="1250">
        <f t="shared" si="114"/>
        <v>0.9950108325595791</v>
      </c>
      <c r="K672" s="941">
        <v>0</v>
      </c>
      <c r="L672" s="941">
        <v>0</v>
      </c>
      <c r="M672" s="940"/>
    </row>
    <row r="673" spans="1:13" ht="33.75">
      <c r="A673" s="935"/>
      <c r="B673" s="935"/>
      <c r="C673" s="936" t="s">
        <v>334</v>
      </c>
      <c r="D673" s="1266" t="s">
        <v>875</v>
      </c>
      <c r="E673" s="951">
        <v>1985</v>
      </c>
      <c r="F673" s="955">
        <f aca="true" t="shared" si="125" ref="F673:F683">G673-E673</f>
        <v>-700</v>
      </c>
      <c r="G673" s="949">
        <v>1285</v>
      </c>
      <c r="H673" s="958">
        <v>1268.87</v>
      </c>
      <c r="I673" s="941">
        <v>0</v>
      </c>
      <c r="J673" s="1250">
        <f t="shared" si="114"/>
        <v>0.9874474708171206</v>
      </c>
      <c r="K673" s="941">
        <v>0</v>
      </c>
      <c r="L673" s="941">
        <v>0</v>
      </c>
      <c r="M673" s="940"/>
    </row>
    <row r="674" spans="1:13" ht="12.75">
      <c r="A674" s="935"/>
      <c r="B674" s="935"/>
      <c r="C674" s="936" t="s">
        <v>331</v>
      </c>
      <c r="D674" s="946" t="s">
        <v>28</v>
      </c>
      <c r="E674" s="951">
        <v>84000</v>
      </c>
      <c r="F674" s="955">
        <f t="shared" si="125"/>
        <v>0</v>
      </c>
      <c r="G674" s="949">
        <v>84000</v>
      </c>
      <c r="H674" s="958">
        <v>82758.41</v>
      </c>
      <c r="I674" s="941">
        <v>0</v>
      </c>
      <c r="J674" s="1250">
        <f t="shared" si="114"/>
        <v>0.9852191666666668</v>
      </c>
      <c r="K674" s="941">
        <v>0</v>
      </c>
      <c r="L674" s="941">
        <v>3000</v>
      </c>
      <c r="M674" s="940"/>
    </row>
    <row r="675" spans="1:13" ht="12.75">
      <c r="A675" s="935"/>
      <c r="B675" s="935"/>
      <c r="C675" s="936" t="s">
        <v>324</v>
      </c>
      <c r="D675" s="946" t="s">
        <v>15</v>
      </c>
      <c r="E675" s="951">
        <v>39017.46</v>
      </c>
      <c r="F675" s="955">
        <f t="shared" si="125"/>
        <v>-2500</v>
      </c>
      <c r="G675" s="949">
        <v>36517.46</v>
      </c>
      <c r="H675" s="958">
        <v>31133</v>
      </c>
      <c r="I675" s="941">
        <v>0</v>
      </c>
      <c r="J675" s="1250">
        <f t="shared" si="114"/>
        <v>0.8525510810445196</v>
      </c>
      <c r="K675" s="941">
        <v>0</v>
      </c>
      <c r="L675" s="941">
        <v>20036.37</v>
      </c>
      <c r="M675" s="940"/>
    </row>
    <row r="676" spans="1:13" ht="12.75">
      <c r="A676" s="935"/>
      <c r="B676" s="935"/>
      <c r="C676" s="936" t="s">
        <v>546</v>
      </c>
      <c r="D676" s="946" t="s">
        <v>37</v>
      </c>
      <c r="E676" s="951">
        <v>17000</v>
      </c>
      <c r="F676" s="955">
        <f t="shared" si="125"/>
        <v>0</v>
      </c>
      <c r="G676" s="949" t="s">
        <v>540</v>
      </c>
      <c r="H676" s="958">
        <v>13319.85</v>
      </c>
      <c r="I676" s="941">
        <v>0</v>
      </c>
      <c r="J676" s="1250">
        <f t="shared" si="114"/>
        <v>0.7835205882352941</v>
      </c>
      <c r="K676" s="941">
        <v>2022.72</v>
      </c>
      <c r="L676" s="941">
        <v>0</v>
      </c>
      <c r="M676" s="940"/>
    </row>
    <row r="677" spans="1:13" ht="12.75">
      <c r="A677" s="935"/>
      <c r="B677" s="935"/>
      <c r="C677" s="936" t="s">
        <v>552</v>
      </c>
      <c r="D677" s="946" t="s">
        <v>74</v>
      </c>
      <c r="E677" s="951">
        <v>5000</v>
      </c>
      <c r="F677" s="955">
        <f t="shared" si="125"/>
        <v>179351.26</v>
      </c>
      <c r="G677" s="949">
        <v>184351.26</v>
      </c>
      <c r="H677" s="958">
        <v>179474</v>
      </c>
      <c r="I677" s="941">
        <v>0</v>
      </c>
      <c r="J677" s="1250">
        <f t="shared" si="114"/>
        <v>0.9735436579061081</v>
      </c>
      <c r="K677" s="941">
        <v>0</v>
      </c>
      <c r="L677" s="941">
        <v>0</v>
      </c>
      <c r="M677" s="940"/>
    </row>
    <row r="678" spans="1:13" ht="12.75">
      <c r="A678" s="935"/>
      <c r="B678" s="935"/>
      <c r="C678" s="936" t="s">
        <v>592</v>
      </c>
      <c r="D678" s="946" t="s">
        <v>38</v>
      </c>
      <c r="E678" s="951">
        <v>0</v>
      </c>
      <c r="F678" s="955">
        <f t="shared" si="125"/>
        <v>0</v>
      </c>
      <c r="G678" s="949">
        <v>0</v>
      </c>
      <c r="H678" s="958">
        <v>0</v>
      </c>
      <c r="I678" s="941">
        <v>0</v>
      </c>
      <c r="J678" s="1250">
        <v>0</v>
      </c>
      <c r="K678" s="941">
        <v>0</v>
      </c>
      <c r="L678" s="941">
        <v>0</v>
      </c>
      <c r="M678" s="940"/>
    </row>
    <row r="679" spans="1:13" ht="12.75">
      <c r="A679" s="935"/>
      <c r="B679" s="935"/>
      <c r="C679" s="936" t="s">
        <v>325</v>
      </c>
      <c r="D679" s="946" t="s">
        <v>16</v>
      </c>
      <c r="E679" s="951">
        <v>35000</v>
      </c>
      <c r="F679" s="955">
        <f t="shared" si="125"/>
        <v>-4800</v>
      </c>
      <c r="G679" s="949">
        <v>30200</v>
      </c>
      <c r="H679" s="958">
        <v>26080.94</v>
      </c>
      <c r="I679" s="941">
        <v>0</v>
      </c>
      <c r="J679" s="1250">
        <f t="shared" si="114"/>
        <v>0.8636072847682119</v>
      </c>
      <c r="K679" s="941">
        <v>0</v>
      </c>
      <c r="L679" s="941">
        <v>8198.7</v>
      </c>
      <c r="M679" s="940"/>
    </row>
    <row r="680" spans="1:13" ht="22.5">
      <c r="A680" s="935"/>
      <c r="B680" s="935"/>
      <c r="C680" s="936" t="s">
        <v>127</v>
      </c>
      <c r="D680" s="946" t="s">
        <v>41</v>
      </c>
      <c r="E680" s="951">
        <v>983000</v>
      </c>
      <c r="F680" s="955">
        <f t="shared" si="125"/>
        <v>-844555.17</v>
      </c>
      <c r="G680" s="949">
        <v>138444.83</v>
      </c>
      <c r="H680" s="958">
        <v>122534.79</v>
      </c>
      <c r="I680" s="941">
        <v>0</v>
      </c>
      <c r="J680" s="1250">
        <f t="shared" si="114"/>
        <v>0.885080287938524</v>
      </c>
      <c r="K680" s="941">
        <v>0</v>
      </c>
      <c r="L680" s="941">
        <v>9999.86</v>
      </c>
      <c r="M680" s="940"/>
    </row>
    <row r="681" spans="1:13" ht="22.5">
      <c r="A681" s="935"/>
      <c r="B681" s="935"/>
      <c r="C681" s="936" t="s">
        <v>224</v>
      </c>
      <c r="D681" s="946" t="s">
        <v>41</v>
      </c>
      <c r="E681" s="951">
        <v>0</v>
      </c>
      <c r="F681" s="955">
        <f t="shared" si="125"/>
        <v>268210</v>
      </c>
      <c r="G681" s="949">
        <v>268210</v>
      </c>
      <c r="H681" s="958">
        <v>268210</v>
      </c>
      <c r="I681" s="941">
        <v>0</v>
      </c>
      <c r="J681" s="1250">
        <f t="shared" si="114"/>
        <v>1</v>
      </c>
      <c r="K681" s="941">
        <v>0</v>
      </c>
      <c r="L681" s="941">
        <v>0</v>
      </c>
      <c r="M681" s="940"/>
    </row>
    <row r="682" spans="1:13" ht="22.5">
      <c r="A682" s="935"/>
      <c r="B682" s="935"/>
      <c r="C682" s="936" t="s">
        <v>219</v>
      </c>
      <c r="D682" s="946" t="s">
        <v>41</v>
      </c>
      <c r="E682" s="951">
        <v>0</v>
      </c>
      <c r="F682" s="955">
        <f t="shared" si="125"/>
        <v>581790</v>
      </c>
      <c r="G682" s="949">
        <v>581790</v>
      </c>
      <c r="H682" s="958">
        <v>581718.9</v>
      </c>
      <c r="I682" s="941">
        <v>0</v>
      </c>
      <c r="J682" s="1250">
        <f t="shared" si="114"/>
        <v>0.9998777909554994</v>
      </c>
      <c r="K682" s="941">
        <v>0</v>
      </c>
      <c r="L682" s="941">
        <v>0</v>
      </c>
      <c r="M682" s="940"/>
    </row>
    <row r="683" spans="1:13" ht="22.5">
      <c r="A683" s="935"/>
      <c r="B683" s="935"/>
      <c r="C683" s="936" t="s">
        <v>145</v>
      </c>
      <c r="D683" s="946" t="s">
        <v>71</v>
      </c>
      <c r="E683" s="951">
        <v>0</v>
      </c>
      <c r="F683" s="955">
        <f t="shared" si="125"/>
        <v>0</v>
      </c>
      <c r="G683" s="949">
        <v>0</v>
      </c>
      <c r="H683" s="958">
        <v>0</v>
      </c>
      <c r="I683" s="941">
        <v>0</v>
      </c>
      <c r="J683" s="1250">
        <v>0</v>
      </c>
      <c r="K683" s="941">
        <v>0</v>
      </c>
      <c r="L683" s="941">
        <v>0</v>
      </c>
      <c r="M683" s="940"/>
    </row>
    <row r="684" spans="1:13" ht="15">
      <c r="A684" s="932"/>
      <c r="B684" s="938" t="s">
        <v>338</v>
      </c>
      <c r="C684" s="933"/>
      <c r="D684" s="945" t="s">
        <v>10</v>
      </c>
      <c r="E684" s="950">
        <f>E685+E686+E687+E688+E689+E690+E691</f>
        <v>375317.57</v>
      </c>
      <c r="F684" s="954">
        <f aca="true" t="shared" si="126" ref="F684:L684">F685+F686+F687+F688+F689+F690+F691</f>
        <v>37666.67999999999</v>
      </c>
      <c r="G684" s="947">
        <f t="shared" si="126"/>
        <v>412984.25</v>
      </c>
      <c r="H684" s="950">
        <f t="shared" si="126"/>
        <v>366428.56</v>
      </c>
      <c r="I684" s="954">
        <f t="shared" si="126"/>
        <v>0</v>
      </c>
      <c r="J684" s="959">
        <f t="shared" si="114"/>
        <v>0.8872700593303497</v>
      </c>
      <c r="K684" s="954">
        <f t="shared" si="126"/>
        <v>429.2</v>
      </c>
      <c r="L684" s="1439">
        <f t="shared" si="126"/>
        <v>6999.48</v>
      </c>
      <c r="M684" s="940"/>
    </row>
    <row r="685" spans="1:13" ht="78.75">
      <c r="A685" s="935"/>
      <c r="B685" s="935"/>
      <c r="C685" s="936" t="s">
        <v>505</v>
      </c>
      <c r="D685" s="946" t="s">
        <v>617</v>
      </c>
      <c r="E685" s="951">
        <v>200000</v>
      </c>
      <c r="F685" s="955">
        <f>G685-E685</f>
        <v>35000</v>
      </c>
      <c r="G685" s="949">
        <v>235000</v>
      </c>
      <c r="H685" s="958">
        <v>221900</v>
      </c>
      <c r="I685" s="941">
        <v>0</v>
      </c>
      <c r="J685" s="1250">
        <f t="shared" si="114"/>
        <v>0.9442553191489361</v>
      </c>
      <c r="K685" s="941">
        <v>0</v>
      </c>
      <c r="L685" s="941">
        <v>0</v>
      </c>
      <c r="M685" s="940"/>
    </row>
    <row r="686" spans="1:13" ht="12.75">
      <c r="A686" s="935"/>
      <c r="B686" s="935"/>
      <c r="C686" s="936" t="s">
        <v>333</v>
      </c>
      <c r="D686" s="946" t="s">
        <v>13</v>
      </c>
      <c r="E686" s="951">
        <v>4446</v>
      </c>
      <c r="F686" s="955">
        <f aca="true" t="shared" si="127" ref="F686:F691">G686-E686</f>
        <v>0</v>
      </c>
      <c r="G686" s="949">
        <v>4446</v>
      </c>
      <c r="H686" s="958">
        <v>157.32</v>
      </c>
      <c r="I686" s="941">
        <v>0</v>
      </c>
      <c r="J686" s="1250">
        <f t="shared" si="114"/>
        <v>0.03538461538461538</v>
      </c>
      <c r="K686" s="941">
        <v>0</v>
      </c>
      <c r="L686" s="941">
        <v>0</v>
      </c>
      <c r="M686" s="940"/>
    </row>
    <row r="687" spans="1:13" ht="33.75">
      <c r="A687" s="935"/>
      <c r="B687" s="935"/>
      <c r="C687" s="936" t="s">
        <v>334</v>
      </c>
      <c r="D687" s="1266" t="s">
        <v>875</v>
      </c>
      <c r="E687" s="951">
        <v>554</v>
      </c>
      <c r="F687" s="955">
        <f t="shared" si="127"/>
        <v>0</v>
      </c>
      <c r="G687" s="949">
        <v>554</v>
      </c>
      <c r="H687" s="958">
        <v>16.42</v>
      </c>
      <c r="I687" s="941">
        <v>0</v>
      </c>
      <c r="J687" s="1250">
        <f t="shared" si="114"/>
        <v>0.029638989169675094</v>
      </c>
      <c r="K687" s="941">
        <v>0</v>
      </c>
      <c r="L687" s="941">
        <v>0</v>
      </c>
      <c r="M687" s="940"/>
    </row>
    <row r="688" spans="1:13" ht="12.75">
      <c r="A688" s="935"/>
      <c r="B688" s="935"/>
      <c r="C688" s="936" t="s">
        <v>331</v>
      </c>
      <c r="D688" s="946" t="s">
        <v>28</v>
      </c>
      <c r="E688" s="951">
        <v>26000</v>
      </c>
      <c r="F688" s="955">
        <f t="shared" si="127"/>
        <v>0</v>
      </c>
      <c r="G688" s="949">
        <v>26000</v>
      </c>
      <c r="H688" s="958">
        <v>12756.8</v>
      </c>
      <c r="I688" s="941">
        <v>0</v>
      </c>
      <c r="J688" s="1250">
        <f t="shared" si="114"/>
        <v>0.49064615384615384</v>
      </c>
      <c r="K688" s="941">
        <v>429.2</v>
      </c>
      <c r="L688" s="941">
        <v>0</v>
      </c>
      <c r="M688" s="940"/>
    </row>
    <row r="689" spans="1:13" ht="12.75">
      <c r="A689" s="935"/>
      <c r="B689" s="935"/>
      <c r="C689" s="936" t="s">
        <v>324</v>
      </c>
      <c r="D689" s="946" t="s">
        <v>15</v>
      </c>
      <c r="E689" s="951">
        <v>77600</v>
      </c>
      <c r="F689" s="955">
        <f t="shared" si="127"/>
        <v>-3333.320000000007</v>
      </c>
      <c r="G689" s="949">
        <v>74266.68</v>
      </c>
      <c r="H689" s="958">
        <v>64319.11</v>
      </c>
      <c r="I689" s="941">
        <v>0</v>
      </c>
      <c r="J689" s="1250">
        <f t="shared" si="114"/>
        <v>0.8660560832933424</v>
      </c>
      <c r="K689" s="941">
        <v>0</v>
      </c>
      <c r="L689" s="941">
        <v>6999.48</v>
      </c>
      <c r="M689" s="940"/>
    </row>
    <row r="690" spans="1:13" ht="12.75">
      <c r="A690" s="935"/>
      <c r="B690" s="935"/>
      <c r="C690" s="936" t="s">
        <v>325</v>
      </c>
      <c r="D690" s="946" t="s">
        <v>16</v>
      </c>
      <c r="E690" s="951">
        <v>52217.57</v>
      </c>
      <c r="F690" s="955">
        <f t="shared" si="127"/>
        <v>6000</v>
      </c>
      <c r="G690" s="949">
        <v>58217.57</v>
      </c>
      <c r="H690" s="958">
        <v>56919.35</v>
      </c>
      <c r="I690" s="941">
        <v>0</v>
      </c>
      <c r="J690" s="1250">
        <f>H690/G690</f>
        <v>0.9777005464157985</v>
      </c>
      <c r="K690" s="941">
        <v>0</v>
      </c>
      <c r="L690" s="941">
        <v>0</v>
      </c>
      <c r="M690" s="940"/>
    </row>
    <row r="691" spans="1:13" ht="12.75">
      <c r="A691" s="935"/>
      <c r="B691" s="935"/>
      <c r="C691" s="936" t="s">
        <v>544</v>
      </c>
      <c r="D691" s="946" t="s">
        <v>17</v>
      </c>
      <c r="E691" s="951">
        <v>14500</v>
      </c>
      <c r="F691" s="955">
        <f t="shared" si="127"/>
        <v>0</v>
      </c>
      <c r="G691" s="949">
        <v>14500</v>
      </c>
      <c r="H691" s="958">
        <v>10359.56</v>
      </c>
      <c r="I691" s="941">
        <v>0</v>
      </c>
      <c r="J691" s="1250">
        <f>H691/G691</f>
        <v>0.7144524137931034</v>
      </c>
      <c r="K691" s="941">
        <v>0</v>
      </c>
      <c r="L691" s="941">
        <v>0</v>
      </c>
      <c r="M691" s="940"/>
    </row>
    <row r="692" spans="1:13" ht="16.5" customHeight="1">
      <c r="A692" s="1717" t="s">
        <v>339</v>
      </c>
      <c r="B692" s="1717"/>
      <c r="C692" s="1717"/>
      <c r="D692" s="1718"/>
      <c r="E692" s="952">
        <f>E670+E633+E574+E517+E498+E477+E412+E387+E226+E218+E215+E176+E153+E79+E72+E53+E47+E32+E25+E9</f>
        <v>76006963.42</v>
      </c>
      <c r="F692" s="956">
        <f>F670+F633+F574+F517+F498+F477+F412+F387+F226+F218+F215+F176+F153+F79+F72+F53+F47+F32+F25+F9</f>
        <v>15633588.729999997</v>
      </c>
      <c r="G692" s="1460">
        <f>G670+G633+G574+G517+G498+G477+G412+G387+G226+G218+G215+G176+G153+G79+G72+G53+G47+G32+G25+G9</f>
        <v>91626752.15</v>
      </c>
      <c r="H692" s="952">
        <f>H670+H633+H574+H517+H498+H477+H412+H387+H226+H218+H215+H176+H153+H79+H72+H53+H47+H32+H25+H9</f>
        <v>86275997.01</v>
      </c>
      <c r="I692" s="956">
        <f>I670+I633+I574+I517+I498+I477+I412+I387+I226+I218+I215+I176+I153+I79+I72+I53+I47+I32+I25+I9</f>
        <v>303244.76</v>
      </c>
      <c r="J692" s="1251">
        <f>H692/G692</f>
        <v>0.9416026977444273</v>
      </c>
      <c r="K692" s="1267">
        <f>K670+K633+K574+K517+K498+K477+K412+K387+K226+K218+K215+K176+K153+K79+K72+K53+K47+K32+K25+K9</f>
        <v>3536996.8399999994</v>
      </c>
      <c r="L692" s="956">
        <f>L670+L633+L574+L517+L498+L477+L412+L387+L226+L218+L215+L176+L153+L79+L72+L53+L47+L32+L25+L9</f>
        <v>400359.08</v>
      </c>
      <c r="M692" s="940"/>
    </row>
    <row r="693" spans="3:13" ht="12.75">
      <c r="C693" s="1268"/>
      <c r="D693" s="1269" t="s">
        <v>92</v>
      </c>
      <c r="E693" s="1318"/>
      <c r="F693" s="1318"/>
      <c r="G693" s="1318"/>
      <c r="H693" s="1318"/>
      <c r="I693" s="1318"/>
      <c r="J693" s="1318"/>
      <c r="K693" s="1318"/>
      <c r="L693" s="1318"/>
      <c r="M693" s="940"/>
    </row>
    <row r="694" spans="2:13" ht="15.75" customHeight="1">
      <c r="B694" s="1279" t="s">
        <v>101</v>
      </c>
      <c r="C694" s="1698" t="s">
        <v>794</v>
      </c>
      <c r="D694" s="1699"/>
      <c r="E694" s="1315">
        <f>E692-E708</f>
        <v>73005549.42</v>
      </c>
      <c r="F694" s="1314">
        <f>F692-F708</f>
        <v>12436005.199999997</v>
      </c>
      <c r="G694" s="1313">
        <f>G692-G708</f>
        <v>85427754.62</v>
      </c>
      <c r="H694" s="1315">
        <f>H692-H708</f>
        <v>82898773.77000001</v>
      </c>
      <c r="I694" s="1314">
        <f>I692-I708</f>
        <v>0</v>
      </c>
      <c r="J694" s="1327">
        <f>H694/G694</f>
        <v>0.9703962621837667</v>
      </c>
      <c r="K694" s="1314">
        <f>K692-K708</f>
        <v>3360496.8399999994</v>
      </c>
      <c r="L694" s="1314">
        <f>L692-L708</f>
        <v>375365.52</v>
      </c>
      <c r="M694" s="940"/>
    </row>
    <row r="695" spans="2:13" ht="15" customHeight="1">
      <c r="B695" s="1278" t="s">
        <v>795</v>
      </c>
      <c r="C695" s="1700" t="s">
        <v>796</v>
      </c>
      <c r="D695" s="1701"/>
      <c r="E695" s="1321" t="e">
        <f>E697+E698</f>
        <v>#VALUE!</v>
      </c>
      <c r="F695" s="1323" t="e">
        <f aca="true" t="shared" si="128" ref="F695:L695">F697+F698</f>
        <v>#VALUE!</v>
      </c>
      <c r="G695" s="1322" t="e">
        <f t="shared" si="128"/>
        <v>#VALUE!</v>
      </c>
      <c r="H695" s="1321" t="e">
        <f t="shared" si="128"/>
        <v>#VALUE!</v>
      </c>
      <c r="I695" s="1323" t="e">
        <f t="shared" si="128"/>
        <v>#VALUE!</v>
      </c>
      <c r="J695" s="1328" t="e">
        <f>H695/G695</f>
        <v>#VALUE!</v>
      </c>
      <c r="K695" s="1323" t="e">
        <f t="shared" si="128"/>
        <v>#VALUE!</v>
      </c>
      <c r="L695" s="1322" t="e">
        <f t="shared" si="128"/>
        <v>#VALUE!</v>
      </c>
      <c r="M695" s="940"/>
    </row>
    <row r="696" spans="2:13" ht="15" customHeight="1">
      <c r="B696" s="1324"/>
      <c r="C696" s="1702" t="s">
        <v>340</v>
      </c>
      <c r="D696" s="1703"/>
      <c r="E696" s="1316"/>
      <c r="F696" s="1316"/>
      <c r="G696" s="1316"/>
      <c r="H696" s="1316"/>
      <c r="I696" s="1316"/>
      <c r="J696" s="1329"/>
      <c r="K696" s="1316"/>
      <c r="L696" s="1311"/>
      <c r="M696" s="940"/>
    </row>
    <row r="697" spans="2:13" ht="15" customHeight="1">
      <c r="B697" s="1326"/>
      <c r="C697" s="1704" t="s">
        <v>819</v>
      </c>
      <c r="D697" s="1705"/>
      <c r="E697" s="1317">
        <f>E688+E687+E686+E674+E673+E672+E667+E664+E663+E644+E643+E642+E637+E636+E626+E625+E624+E609+E608+E607+E599+E588+E587+E586+E585+E584+E562+E561+E560+E559+E555+E554+E553+E542+E541+E540+E539+E525+E524+E523+E522+E521+E504+E503+E502+E501+E468+E467+E466+E453+E451+E450+E449+E448+E421+E420+E419+E417+E399+E398+E397+E391+E377+E374+E371+E355+E354+E353+E343+E342+E341+E340+E331+E330+E329+E328+E317+E316+E315+E314+E313+E295+E294+E293+E292+E291+E271+E270+E269+E268+E267+E254+E253+E252+E251+E234+E233+E232+E231+E230+E206+E205+E204+E185+E184+E183+E162+E161+E160+E157+E156+E155+E151+E137+E136+E135+E134+E133+E127+E126+E105+E103+E102+E101+E100+E85+E84+E83+E82+E77+E74+E28+E27+E20+E19+E18+E17</f>
        <v>26081269.810000002</v>
      </c>
      <c r="F697" s="1320">
        <f>F688+F687+F686+F674+F673+F672+F667+F664+F663+F644+F643+F642+F637+F636+F626+F625+F624+F609+F608+F607+F599+F588+F587+F586+F585+F584+F562+F561+F560+F559+F555+F554+F553+F542+F541+F540+F539+F525+F524+F523+F522+F521+F504+F503+F502+F501+F468+F467+F466+F453+F451+F450+F449+F448+F421+F420+F419+F417+F399+F398+F397+F391+F377+F374+F371+F355+F354+F353+F343+F342+F341+F340+F331+F330+F329+F328+F317+F316+F315+F314+F313+F295+F294+F293+F292+F291+F271+F270+F269+F268+F267+F254+F253+F252+F251+F234+F233+F232+F231+F230+F206+F205+F204+F185+F184+F183+F162+F161+F160+F157+F156+F155+F151+F137+F136+F135+F134+F133+F127+F126+F105+F103+F102+F101+F100+F85+F84+F83+F82+F77+F74+F28+F27+F20+F19+F18+F17</f>
        <v>1538738.2399999998</v>
      </c>
      <c r="G697" s="1319">
        <f>G688+G687+G686+G674+G673+G672+G667+G664+G663+G644+G643+G642+G637+G636+G626+G625+G624+G609+G608+G607+G599+G588+G587+G586+G585+G584+G562+G561+G560+G559+G555+G554+G553+G542+G541+G540+G539+G525+G524+G523+G522+G521+G504+G503+G502+G501+G468+G467+G466+G453+G451+G450+G449+G448+G421+G420+G419+G417+G399+G398+G397+G391+G377+G374+G371+G355+G354+G353+G343+G342+G341+G340+G331+G330+G329+G328+G317+G316+G315+G314+G313+G295+G294+G293+G292+G291+G271+G270+G269+G268+G267+G254+G253+G252+G251+G234+G233+G232+G231+G230+G206+G205+G204+G185+G184+G183+G162+G161+G160+G157+G156+G155+G151+G137+G136+G135+G134+G133+G127+G126+G105+G103+G102+G101+G100+G85+G84+G83+G82+G77+G74+G28+G27+G20+G19+G18+G17</f>
        <v>27620008.05000001</v>
      </c>
      <c r="H697" s="1317">
        <f>H688+H687+H686+H674+H673+H672+H667+H664+H663+H644+H643+H642+H637+H636+H626+H625+H624+H609+H608+H607+H599+H588+H587+H586+H585+H584+H562+H561+H560+H559+H555+H554+H553+H542+H541+H540+H539+H525+H524+H523+H522+H521+H504+H503+H502+H501+H468+H467+H466+H453+H451+H450+H449+H448+H421+H420+H419+H417+H399+H398+H397+H391+H377+H374+H371+H355+H354+H353+H343+H342+H341+H340+H331+H330+H329+H328+H317+H316+H315+H314+H313+H295+H294+H293+H292+H291+H271+H270+H269+H268+H267+H254+H253+H252+H251+H234+H233+H232+H231+H230+H206+H205+H204+H185+H184+H183+H162+H161+H160+H157+H156+H155+H151+H137+H136+H135+H134+H133+H127+H126+H105+H103+H102+H101+H100+H85+H84+H83+H82+H77+H74+H28+H27+H20+H19+H18+H17</f>
        <v>27079769.910000004</v>
      </c>
      <c r="I697" s="1320">
        <f>I688+I687+I686+I674+I673+I672+I667+I664+I663+I644+I643+I642+I637+I636+I626+I625+I624+I609+I608+I607+I599+I588+I587+I586+I585+I584+I562+I561+I560+I559+I555+I554+I553+I542+I541+I540+I539+I525+I524+I523+I522+I521+I504+I503+I502+I501+I468+I467+I466+I453+I451+I450+I449+I448+I421+I420+I419+I417+I399+I398+I397+I391+I377+I374+I371+I355+I354+I353+I343+I342+I341+I340+I331+I330+I329+I328+I317+I316+I315+I314+I313+I295+I294+I293+I292+I291+I271+I270+I269+I268+I267+I254+I253+I252+I251+I234+I233+I232+I231+I230+I206+I205+I204+I185+I184+I183+I162+I161+I160+I157+I156+I155+I151+I137+I136+I135+I134+I133+I127+I126+I105+I103+I102+I101+I100+I85+I84+I83+I82+I77+I74+I28+I27+I20+I19+I18+I17</f>
        <v>0</v>
      </c>
      <c r="J697" s="1330">
        <f aca="true" t="shared" si="129" ref="J697:J702">H697/G697</f>
        <v>0.9804403337239431</v>
      </c>
      <c r="K697" s="1320">
        <f>K688+K687+K686+K674+K673+K672+K667+K664+K663+K644+K643+K642+K637+K636+K626+K625+K624+K609+K608+K607+K599+K588+K587+K586+K585+K584+K562+K561+K560+K559+K555+K554+K553+K542+K541+K540+K539+K525+K524+K523+K522+K521+K504+K503+K502+K501+K468+K467+K466+K453+K451+K450+K449+K448+K421+K420+K419+K417+K399+K398+K397+K391+K377+K374+K371+K355+K354+K353+K343+K342+K341+K340+K331+K330+K329+K328+K317+K316+K315+K314+K313+K295+K294+K293+K292+K291+K271+K270+K269+K268+K267+K254+K253+K252+K251+K234+K233+K232+K231+K230+K206+K205+K204+K185+K184+K183+K162+K161+K160+K157+K156+K155+K151+K137+K136+K135+K134+K133+K127+K126+K105+K103+K102+K101+K100+K85+K84+K83+K82+K77+K74+K28+K27+K20+K19+K18+K17</f>
        <v>2446371.5599999996</v>
      </c>
      <c r="L697" s="1320">
        <f>L688+L687+L686+L674+L673+L672+L667+L664+L663+L644+L643+L642+L637+L636+L626+L625+L624+L609+L608+L607+L599+L588+L587+L586+L585+L584+L562+L561+L560+L559+L555+L554+L553+L542+L541+L540+L539+L525+L524+L523+L522+L521+L504+L503+L502+L501+L468+L467+L466+L453+L451+L450+L449+L448+L421+L420+L419+L417+L399+L398+L397+L391+L377+L374+L371+L355+L354+L353+L343+L342+L341+L340+L331+L330+L329+L328+L317+L316+L315+L314+L313+L295+L294+L293+L292+L291+L271+L270+L269+L268+L267+L254+L253+L252+L251+L234+L233+L232+L231+L230+L206+L205+L204+L185+L184+L183+L162+L161+L160+L157+L156+L155+L151+L137+L136+L135+L134+L133+L127+L126+L105+L103+L102+L101+L100+L85+L84+L83+L82+L77+L74+L28+L27+L20+L19+L18+L17</f>
        <v>23117.77</v>
      </c>
      <c r="M697" s="940"/>
    </row>
    <row r="698" spans="2:13" ht="23.25" customHeight="1">
      <c r="B698" s="1325"/>
      <c r="C698" s="1704" t="s">
        <v>820</v>
      </c>
      <c r="D698" s="1705"/>
      <c r="E698" s="1317" t="e">
        <f>#VALUE!</f>
        <v>#VALUE!</v>
      </c>
      <c r="F698" s="1320" t="e">
        <f>#VALUE!</f>
        <v>#VALUE!</v>
      </c>
      <c r="G698" s="1319" t="e">
        <f>#VALUE!</f>
        <v>#VALUE!</v>
      </c>
      <c r="H698" s="1317" t="e">
        <f>#VALUE!</f>
        <v>#VALUE!</v>
      </c>
      <c r="I698" s="1320" t="e">
        <f>#VALUE!</f>
        <v>#VALUE!</v>
      </c>
      <c r="J698" s="1330" t="e">
        <f t="shared" si="129"/>
        <v>#VALUE!</v>
      </c>
      <c r="K698" s="1320" t="e">
        <f>#VALUE!</f>
        <v>#VALUE!</v>
      </c>
      <c r="L698" s="1320" t="e">
        <f>#VALUE!</f>
        <v>#VALUE!</v>
      </c>
      <c r="M698" s="940"/>
    </row>
    <row r="699" spans="2:13" ht="15" customHeight="1">
      <c r="B699" s="1274" t="s">
        <v>797</v>
      </c>
      <c r="C699" s="1708" t="s">
        <v>798</v>
      </c>
      <c r="D699" s="1709"/>
      <c r="E699" s="1305">
        <f>E685+E656+E653+E641+E635+E606+E583+E479+E473+E408+E396+E395+E364+E363+E326+E289+E288+E265+E264+E228+E203+E181+E55+E35+E34+E11+E661+E357</f>
        <v>6434640.69</v>
      </c>
      <c r="F699" s="1308">
        <f>F685+F656+F653+F641+F635+F606+F583+F479+F473+F408+F396+F395+F364+F363+F326+F289+F288+F265+F264+F228+F203+F181+F55+F35+F34+F11+F661+F357</f>
        <v>499204.26</v>
      </c>
      <c r="G699" s="1316">
        <f>G685+G656+G653+G641+G635+G606+G583+G479+G473+G408+G396+G395+G364+G363+G326+G289+G288+G265+G264+G228+G203+G181+G55+G35+G34+G11+G661+G357</f>
        <v>6933844.95</v>
      </c>
      <c r="H699" s="1305">
        <f>H685+H656+H653+H641+H635+H606+H583+H479+H473+H408+H396+H395+H364+H363+H326+H289+H288+H265+H264+H228+H203+H181+H55+H35+H34+H11+H661+H357</f>
        <v>6641405.610000001</v>
      </c>
      <c r="I699" s="1308">
        <f>I685+I656+I653+I641+I635+I606+I583+I479+I473+I408+I396+I395+I364+I363+I326+I289+I288+I265+I264+I228+I203+I181+I55+I35+I34+I11+I661+I357</f>
        <v>0</v>
      </c>
      <c r="J699" s="1329">
        <f t="shared" si="129"/>
        <v>0.9578243612153458</v>
      </c>
      <c r="K699" s="1308">
        <f>K685+K656+K653+K641+K635+K606+K583+K479+K473+K408+K396+K395+K364+K363+K326+K289+K288+K265+K264+K228+K203+K181+K55+K35+K34+K11+K661+K357</f>
        <v>3433.9</v>
      </c>
      <c r="L699" s="1308">
        <f>L685+L656+L653+L641+L635+L606+L583+L479+L473+L408+L396+L395+L364+L363+L326+L289+L288+L265+L264+L228+L203+L181+L55+L35+L34+L11+L661+L357</f>
        <v>0</v>
      </c>
      <c r="M699" s="940"/>
    </row>
    <row r="700" spans="2:13" ht="15" customHeight="1">
      <c r="B700" s="1274" t="s">
        <v>799</v>
      </c>
      <c r="C700" s="1708" t="s">
        <v>800</v>
      </c>
      <c r="D700" s="1709"/>
      <c r="E700" s="1305">
        <f>E557+E538+E520+E516+E515+E513+E512+E500+E471+E447+E445+E441+E439+E352+E339+E327+E312+E290+E266+E250+E229+E210+E182+E159+E150+E132+E99+E91+E81+E558</f>
        <v>21093241.2</v>
      </c>
      <c r="F700" s="1308">
        <f>F557+F538+F520+F516+F515+F513+F512+F500+F471+F447+F445+F441+F439+F352+F339+F327+F312+F290+F266+F250+F229+F210+F182+F159+F150+F132+F99+F91+F81+F558</f>
        <v>7319666</v>
      </c>
      <c r="G700" s="1316">
        <f>G557+G538+G520+G516+G515+G513+G512+G500+G471+G447+G445+G441+G439+G352+G339+G327+G312+G290+G266+G250+G229+G210+G182+G159+G150+G132+G99+G91+G81+G558</f>
        <v>28412907.2</v>
      </c>
      <c r="H700" s="1305">
        <f>H557+H538+H520+H516+H515+H513+H512+H500+H471+H447+H445+H441+H439+H352+H339+H327+H312+H290+H266+H250+H229+H210+H182+H159+H150+H132+H99+H91+H81+H558</f>
        <v>28249879.869999997</v>
      </c>
      <c r="I700" s="1308">
        <f>I557+I538+I520+I516+I515+I513+I512+I500+I471+I447+I445+I441+I439+I352+I339+I327+I312+I290+I266+I250+I229+I210+I182+I159+I150+I132+I99+I91+I81+I558</f>
        <v>0</v>
      </c>
      <c r="J700" s="1329">
        <f t="shared" si="129"/>
        <v>0.9942622087612351</v>
      </c>
      <c r="K700" s="1308">
        <f>K557+K538+K520+K516+K515+K513+K512+K500+K471+K447+K445+K441+K439+K352+K339+K327+K312+K290+K266+K250+K229+K210+K182+K159+K150+K132+K99+K91+K81+K558</f>
        <v>137339.52</v>
      </c>
      <c r="L700" s="1308">
        <f>L557+L538+L520+L516+L515+L513+L512+L500+L471+L447+L445+L441+L439+L352+L339+L327+L312+L290+L266+L250+L229+L210+L182+L159+L150+L132+L99+L91+L81+L558</f>
        <v>0</v>
      </c>
      <c r="M700" s="940"/>
    </row>
    <row r="701" spans="2:13" ht="15" customHeight="1">
      <c r="B701" s="1274" t="s">
        <v>801</v>
      </c>
      <c r="C701" s="1708" t="s">
        <v>802</v>
      </c>
      <c r="D701" s="1709"/>
      <c r="E701" s="1305">
        <f>E217</f>
        <v>416000</v>
      </c>
      <c r="F701" s="1308">
        <f aca="true" t="shared" si="130" ref="F701:L701">F217</f>
        <v>0</v>
      </c>
      <c r="G701" s="1316">
        <f t="shared" si="130"/>
        <v>416000</v>
      </c>
      <c r="H701" s="1305">
        <f t="shared" si="130"/>
        <v>399308.37</v>
      </c>
      <c r="I701" s="1308">
        <f t="shared" si="130"/>
        <v>0</v>
      </c>
      <c r="J701" s="1329">
        <f t="shared" si="129"/>
        <v>0.9598758894230769</v>
      </c>
      <c r="K701" s="1308">
        <f t="shared" si="130"/>
        <v>18876.76</v>
      </c>
      <c r="L701" s="1308">
        <f t="shared" si="130"/>
        <v>0</v>
      </c>
      <c r="M701" s="940"/>
    </row>
    <row r="702" spans="2:13" ht="37.5" customHeight="1">
      <c r="B702" s="1343" t="s">
        <v>803</v>
      </c>
      <c r="C702" s="1710" t="s">
        <v>804</v>
      </c>
      <c r="D702" s="1711"/>
      <c r="E702" s="1344">
        <f>E497+E496+E495+E494+E493+E492+E491+E490+E489+E488+E487+E486+E485+E484+E483+E482+E481+E480+E385+E384+E382+E381+E380+E379+E376+E375+E373+E372+E370+E369+E368+E367+E362+E361</f>
        <v>404546.8599999999</v>
      </c>
      <c r="F702" s="1345">
        <f aca="true" t="shared" si="131" ref="F702:L702">F497+F496+F495+F494+F493+F492+F491+F490+F489+F488+F487+F486+F485+F484+F483+F482+F481+F480+F385+F384+F382+F381+F380+F379+F376+F375+F373+F372+F370+F369+F368+F367+F362+F361</f>
        <v>163256.32999999996</v>
      </c>
      <c r="G702" s="1346">
        <f t="shared" si="131"/>
        <v>567803.19</v>
      </c>
      <c r="H702" s="1344">
        <f t="shared" si="131"/>
        <v>529929.7</v>
      </c>
      <c r="I702" s="1345">
        <f t="shared" si="131"/>
        <v>0</v>
      </c>
      <c r="J702" s="1347">
        <f t="shared" si="129"/>
        <v>0.9332982084866414</v>
      </c>
      <c r="K702" s="1345">
        <f t="shared" si="131"/>
        <v>0</v>
      </c>
      <c r="L702" s="1345">
        <f t="shared" si="131"/>
        <v>0</v>
      </c>
      <c r="M702" s="940"/>
    </row>
    <row r="703" spans="2:13" ht="15" customHeight="1">
      <c r="B703" s="1348"/>
      <c r="C703" s="1712" t="s">
        <v>92</v>
      </c>
      <c r="D703" s="1713"/>
      <c r="E703" s="1346"/>
      <c r="F703" s="1346"/>
      <c r="G703" s="1346"/>
      <c r="H703" s="1346"/>
      <c r="I703" s="1346"/>
      <c r="J703" s="1347"/>
      <c r="K703" s="1346"/>
      <c r="L703" s="1346"/>
      <c r="M703" s="940"/>
    </row>
    <row r="704" spans="2:13" ht="19.5" customHeight="1">
      <c r="B704" s="1348"/>
      <c r="C704" s="1729" t="s">
        <v>819</v>
      </c>
      <c r="D704" s="1721"/>
      <c r="E704" s="1333">
        <f>E487+E486+E485+E484+E483+E482+E369+E370+E372+E373+E375+E376+E489</f>
        <v>39070.880000000005</v>
      </c>
      <c r="F704" s="1334">
        <f aca="true" t="shared" si="132" ref="F704:L704">F487+F486+F485+F484+F483+F482+F369+F370+F372+F373+F375+F376+F489</f>
        <v>43580.619999999995</v>
      </c>
      <c r="G704" s="1335">
        <f t="shared" si="132"/>
        <v>82651.5</v>
      </c>
      <c r="H704" s="1333">
        <f t="shared" si="132"/>
        <v>79839.41</v>
      </c>
      <c r="I704" s="1334">
        <f t="shared" si="132"/>
        <v>0</v>
      </c>
      <c r="J704" s="1336">
        <f>H704/G704</f>
        <v>0.9659765400506948</v>
      </c>
      <c r="K704" s="1334">
        <f t="shared" si="132"/>
        <v>0</v>
      </c>
      <c r="L704" s="1334">
        <f t="shared" si="132"/>
        <v>0</v>
      </c>
      <c r="M704" s="940"/>
    </row>
    <row r="705" spans="2:13" ht="19.5" customHeight="1">
      <c r="B705" s="1348"/>
      <c r="C705" s="1723" t="s">
        <v>820</v>
      </c>
      <c r="D705" s="1724"/>
      <c r="E705" s="1337">
        <f>E497+E496+E495+E494+E493+E492+E491+E490+E488+E385+E384+E382+E381+E380+E379</f>
        <v>354259.96</v>
      </c>
      <c r="F705" s="1338">
        <f aca="true" t="shared" si="133" ref="F705:L705">F497+F496+F495+F494+F493+F492+F491+F490+F488+F385+F384+F382+F381+F380+F379</f>
        <v>130891.72999999995</v>
      </c>
      <c r="G705" s="1339">
        <f t="shared" si="133"/>
        <v>485151.68999999994</v>
      </c>
      <c r="H705" s="1337">
        <f t="shared" si="133"/>
        <v>450090.29</v>
      </c>
      <c r="I705" s="1338">
        <f t="shared" si="133"/>
        <v>0</v>
      </c>
      <c r="J705" s="1336">
        <f>H705/G705</f>
        <v>0.9277310566515805</v>
      </c>
      <c r="K705" s="1338">
        <f t="shared" si="133"/>
        <v>0</v>
      </c>
      <c r="L705" s="1338">
        <f t="shared" si="133"/>
        <v>0</v>
      </c>
      <c r="M705" s="940"/>
    </row>
    <row r="706" spans="2:13" ht="19.5" customHeight="1">
      <c r="B706" s="1348"/>
      <c r="C706" s="1721" t="s">
        <v>824</v>
      </c>
      <c r="D706" s="1722"/>
      <c r="E706" s="1340">
        <f>E362+E361</f>
        <v>7692.22</v>
      </c>
      <c r="F706" s="1341">
        <f aca="true" t="shared" si="134" ref="F706:L706">F362+F361</f>
        <v>-7692.22</v>
      </c>
      <c r="G706" s="1342">
        <f t="shared" si="134"/>
        <v>0</v>
      </c>
      <c r="H706" s="1340">
        <f t="shared" si="134"/>
        <v>0</v>
      </c>
      <c r="I706" s="1341">
        <f t="shared" si="134"/>
        <v>0</v>
      </c>
      <c r="J706" s="1336">
        <v>0</v>
      </c>
      <c r="K706" s="1341">
        <f t="shared" si="134"/>
        <v>0</v>
      </c>
      <c r="L706" s="1341">
        <f t="shared" si="134"/>
        <v>0</v>
      </c>
      <c r="M706" s="940"/>
    </row>
    <row r="707" spans="1:13" ht="15" customHeight="1">
      <c r="A707" s="1403"/>
      <c r="B707" s="1349"/>
      <c r="C707" s="1725" t="s">
        <v>825</v>
      </c>
      <c r="D707" s="1723"/>
      <c r="E707" s="1337">
        <f>E481+E480+E368+E367</f>
        <v>3523.8</v>
      </c>
      <c r="F707" s="1338">
        <f aca="true" t="shared" si="135" ref="F707:L707">F481+F480+F368+F367</f>
        <v>-3523.8</v>
      </c>
      <c r="G707" s="1339">
        <f t="shared" si="135"/>
        <v>0</v>
      </c>
      <c r="H707" s="1337">
        <f t="shared" si="135"/>
        <v>0</v>
      </c>
      <c r="I707" s="1338">
        <f t="shared" si="135"/>
        <v>0</v>
      </c>
      <c r="J707" s="1404">
        <v>0</v>
      </c>
      <c r="K707" s="1338">
        <f t="shared" si="135"/>
        <v>0</v>
      </c>
      <c r="L707" s="1338">
        <f t="shared" si="135"/>
        <v>0</v>
      </c>
      <c r="M707" s="940"/>
    </row>
    <row r="708" spans="2:13" ht="27.75" customHeight="1">
      <c r="B708" s="1398" t="s">
        <v>103</v>
      </c>
      <c r="C708" s="1730" t="s">
        <v>805</v>
      </c>
      <c r="D708" s="1731"/>
      <c r="E708" s="1399">
        <f>E710+E711+E713+E714</f>
        <v>3001414</v>
      </c>
      <c r="F708" s="1400">
        <f>F710+F711+F713+F714</f>
        <v>3197583.53</v>
      </c>
      <c r="G708" s="1401">
        <f>G710+G711+G713+G714</f>
        <v>6198997.53</v>
      </c>
      <c r="H708" s="1401">
        <f>H710+H711+H713+H714</f>
        <v>3377223.2399999998</v>
      </c>
      <c r="I708" s="1400">
        <f>I710+I711+I713+I714</f>
        <v>303244.76</v>
      </c>
      <c r="J708" s="1402">
        <f>H708/G708</f>
        <v>0.5448015140602903</v>
      </c>
      <c r="K708" s="1400">
        <f>K710+K711+K713+K714</f>
        <v>176500</v>
      </c>
      <c r="L708" s="1400">
        <f>L710+L711+L713+L714</f>
        <v>24993.56</v>
      </c>
      <c r="M708" s="940"/>
    </row>
    <row r="709" spans="2:13" ht="16.5" customHeight="1">
      <c r="B709" s="1275"/>
      <c r="C709" s="1726" t="s">
        <v>92</v>
      </c>
      <c r="D709" s="1727"/>
      <c r="E709" s="1303"/>
      <c r="F709" s="1309"/>
      <c r="G709" s="1302"/>
      <c r="H709" s="1303"/>
      <c r="I709" s="1309"/>
      <c r="J709" s="1331"/>
      <c r="K709" s="1309"/>
      <c r="L709" s="1309"/>
      <c r="M709" s="940"/>
    </row>
    <row r="710" spans="2:13" ht="13.5" customHeight="1">
      <c r="B710" s="1277" t="s">
        <v>795</v>
      </c>
      <c r="C710" s="1732" t="s">
        <v>806</v>
      </c>
      <c r="D710" s="1733"/>
      <c r="E710" s="1305">
        <f>E651+E612+E604+E581+E389+E196+E40+E632</f>
        <v>160000</v>
      </c>
      <c r="F710" s="1305">
        <f>F651+F612+F604+F581+F389+F196+F40+F632</f>
        <v>103000</v>
      </c>
      <c r="G710" s="1305">
        <f>G651+G612+G604+G581+G389+G196+G40+G632</f>
        <v>263000</v>
      </c>
      <c r="H710" s="1305">
        <f>H651+H612+H604+H581+H389+H196+H40+H632</f>
        <v>261128.14</v>
      </c>
      <c r="I710" s="1308">
        <f>I651+I612+I604+I581+I389+I196+I40</f>
        <v>0</v>
      </c>
      <c r="J710" s="1329">
        <f>H710/G710</f>
        <v>0.9928826615969583</v>
      </c>
      <c r="K710" s="1308">
        <f>K651+K612+K604+K581+K389+K196+K40</f>
        <v>0</v>
      </c>
      <c r="L710" s="1308">
        <f>L651+L612+L604+L581+L389+L196+L40</f>
        <v>0</v>
      </c>
      <c r="M710" s="940"/>
    </row>
    <row r="711" spans="2:13" ht="31.5" customHeight="1">
      <c r="B711" s="1350" t="s">
        <v>797</v>
      </c>
      <c r="C711" s="1734" t="s">
        <v>804</v>
      </c>
      <c r="D711" s="1735"/>
      <c r="E711" s="1615">
        <f>E682+E681+E659+E658</f>
        <v>0</v>
      </c>
      <c r="F711" s="1616">
        <f>F682+F681+F659+F658</f>
        <v>850000</v>
      </c>
      <c r="G711" s="1351">
        <f>G682+G681+G659+G658</f>
        <v>850000</v>
      </c>
      <c r="H711" s="1344">
        <f>H682+H681+H659+H658</f>
        <v>849928.9</v>
      </c>
      <c r="I711" s="1345">
        <f>I682+I681+I659+I658</f>
        <v>0</v>
      </c>
      <c r="J711" s="1347">
        <f>H711/G711</f>
        <v>0.9999163529411765</v>
      </c>
      <c r="K711" s="1345">
        <f>K682+K681+K659+K658</f>
        <v>0</v>
      </c>
      <c r="L711" s="1345">
        <f>L682+L681+L659+L658</f>
        <v>0</v>
      </c>
      <c r="M711" s="940"/>
    </row>
    <row r="712" spans="2:13" ht="14.25" customHeight="1">
      <c r="B712" s="1276" t="s">
        <v>799</v>
      </c>
      <c r="C712" s="1714" t="s">
        <v>948</v>
      </c>
      <c r="D712" s="1715"/>
      <c r="E712" s="1617">
        <f>E13</f>
        <v>0</v>
      </c>
      <c r="F712" s="1617">
        <f>F13</f>
        <v>500000</v>
      </c>
      <c r="G712" s="1617">
        <f>G13</f>
        <v>500000</v>
      </c>
      <c r="H712" s="1617">
        <f>H13</f>
        <v>500000</v>
      </c>
      <c r="I712" s="1617">
        <f>I13</f>
        <v>0</v>
      </c>
      <c r="J712" s="1619">
        <f>H712/G712</f>
        <v>1</v>
      </c>
      <c r="K712" s="1618">
        <f>K13</f>
        <v>0</v>
      </c>
      <c r="L712" s="1618">
        <f>L13</f>
        <v>0</v>
      </c>
      <c r="M712" s="940"/>
    </row>
    <row r="713" spans="2:13" ht="15" customHeight="1">
      <c r="B713" s="1276" t="s">
        <v>801</v>
      </c>
      <c r="C713" s="1706" t="s">
        <v>822</v>
      </c>
      <c r="D713" s="1707"/>
      <c r="E713" s="1304">
        <f>E680+E650+E616+E579+E431+E248+E194+E120+E70+E46+E24</f>
        <v>2621414</v>
      </c>
      <c r="F713" s="1304">
        <f>F680+F650+F616+F579+F431+F248+F194+F120+F70+F46+F24</f>
        <v>2216869.96</v>
      </c>
      <c r="G713" s="1304">
        <f>G680+G650+G616+G579+G431+G248+G194+G120+G70+G46+G24</f>
        <v>4838283.96</v>
      </c>
      <c r="H713" s="1304">
        <f>H680+H650+H616+H579+H431+H248+H194+H120+H70+H46+H24</f>
        <v>2083763.92</v>
      </c>
      <c r="I713" s="1307">
        <f>I680+I657+I650+I616+I579+I431+I248+I194+I120+I70+I46</f>
        <v>303244.76</v>
      </c>
      <c r="J713" s="1329">
        <f>H713/G713</f>
        <v>0.4306824355964423</v>
      </c>
      <c r="K713" s="1307">
        <f>K680+K657+K650+K616+K579+K431+K248+K194+K120+K70+K46</f>
        <v>0</v>
      </c>
      <c r="L713" s="1307">
        <f>L680+L657+L650+L616+L579+L431+L248+L194+L120+L70+L46</f>
        <v>24993.56</v>
      </c>
      <c r="M713" s="940"/>
    </row>
    <row r="714" spans="2:13" ht="18.75" customHeight="1">
      <c r="B714" s="1455" t="s">
        <v>803</v>
      </c>
      <c r="C714" s="1719" t="s">
        <v>823</v>
      </c>
      <c r="D714" s="1720"/>
      <c r="E714" s="1306">
        <f>E683+E411+E324+E214+E195+E121+E97+E71+E52</f>
        <v>220000</v>
      </c>
      <c r="F714" s="1310">
        <f>F683+F411+F324+F214+F195+F121+F97+F71+F52</f>
        <v>27713.570000000007</v>
      </c>
      <c r="G714" s="1312">
        <f>G683+G411+G324+G214+G195+G121+G97+G71+G52</f>
        <v>247713.57</v>
      </c>
      <c r="H714" s="1306">
        <f>H683+H411+H324+H214+H195+H121+H97+H71+H52</f>
        <v>182402.28</v>
      </c>
      <c r="I714" s="1310">
        <f>I683+I411+I324+I214+I195+I121+I97+I71+I52</f>
        <v>0</v>
      </c>
      <c r="J714" s="1332">
        <f>H714/G714</f>
        <v>0.7363435115807341</v>
      </c>
      <c r="K714" s="1310">
        <f>K683+K411+K324+K214+K195+K121+K97+K71+K52</f>
        <v>176500</v>
      </c>
      <c r="L714" s="1310">
        <f>L683+L411+L324+L214+L195+L121+L97+L71+L52</f>
        <v>0</v>
      </c>
      <c r="M714" s="940"/>
    </row>
    <row r="715" spans="5:13" ht="12.75">
      <c r="E715" s="942"/>
      <c r="F715" s="942"/>
      <c r="G715" s="942"/>
      <c r="H715" s="942"/>
      <c r="I715" s="942"/>
      <c r="J715" s="942"/>
      <c r="K715" s="942"/>
      <c r="L715" s="942"/>
      <c r="M715" s="940"/>
    </row>
    <row r="716" spans="5:13" ht="12.75">
      <c r="E716" s="942"/>
      <c r="F716" s="942"/>
      <c r="G716" s="942"/>
      <c r="H716" s="942"/>
      <c r="I716" s="942"/>
      <c r="J716" s="942"/>
      <c r="K716" s="942"/>
      <c r="L716" s="942"/>
      <c r="M716" s="940"/>
    </row>
    <row r="717" spans="5:13" ht="12.75">
      <c r="E717" s="942"/>
      <c r="F717" s="942"/>
      <c r="G717" s="942"/>
      <c r="H717" s="942"/>
      <c r="I717" s="942"/>
      <c r="J717" s="942"/>
      <c r="K717" s="942"/>
      <c r="L717" s="942"/>
      <c r="M717" s="940"/>
    </row>
    <row r="718" spans="5:13" ht="12.75">
      <c r="E718" s="942"/>
      <c r="F718" s="942"/>
      <c r="G718" s="942"/>
      <c r="H718" s="942"/>
      <c r="I718" s="942"/>
      <c r="J718" s="942"/>
      <c r="K718" s="942"/>
      <c r="L718" s="942"/>
      <c r="M718" s="940"/>
    </row>
    <row r="719" spans="5:13" ht="12.75">
      <c r="E719" s="942"/>
      <c r="F719" s="942"/>
      <c r="G719" s="942"/>
      <c r="H719" s="942"/>
      <c r="I719" s="942"/>
      <c r="J719" s="942"/>
      <c r="K719" s="942"/>
      <c r="L719" s="942"/>
      <c r="M719" s="940"/>
    </row>
    <row r="720" spans="5:13" ht="12.75">
      <c r="E720" s="942"/>
      <c r="F720" s="942"/>
      <c r="G720" s="942"/>
      <c r="H720" s="942"/>
      <c r="I720" s="942"/>
      <c r="J720" s="942"/>
      <c r="K720" s="942"/>
      <c r="L720" s="942"/>
      <c r="M720" s="940"/>
    </row>
    <row r="721" spans="5:13" ht="12.75">
      <c r="E721" s="942"/>
      <c r="F721" s="942"/>
      <c r="G721" s="942"/>
      <c r="H721" s="942"/>
      <c r="I721" s="942"/>
      <c r="J721" s="942"/>
      <c r="K721" s="942"/>
      <c r="L721" s="942"/>
      <c r="M721" s="940"/>
    </row>
    <row r="722" spans="5:13" ht="12.75">
      <c r="E722" s="942"/>
      <c r="F722" s="942"/>
      <c r="G722" s="942"/>
      <c r="H722" s="942"/>
      <c r="I722" s="942"/>
      <c r="J722" s="942"/>
      <c r="K722" s="942"/>
      <c r="L722" s="942"/>
      <c r="M722" s="940"/>
    </row>
    <row r="723" spans="5:13" ht="12.75">
      <c r="E723" s="942"/>
      <c r="F723" s="942"/>
      <c r="G723" s="942"/>
      <c r="H723" s="942"/>
      <c r="I723" s="942"/>
      <c r="J723" s="942"/>
      <c r="K723" s="942"/>
      <c r="L723" s="942"/>
      <c r="M723" s="940"/>
    </row>
    <row r="724" spans="5:13" ht="12.75">
      <c r="E724" s="942"/>
      <c r="F724" s="942"/>
      <c r="G724" s="942"/>
      <c r="H724" s="942"/>
      <c r="I724" s="942"/>
      <c r="J724" s="942"/>
      <c r="K724" s="942"/>
      <c r="L724" s="942"/>
      <c r="M724" s="940"/>
    </row>
    <row r="725" spans="5:13" ht="12.75">
      <c r="E725" s="942"/>
      <c r="F725" s="942"/>
      <c r="G725" s="942"/>
      <c r="H725" s="942"/>
      <c r="I725" s="942"/>
      <c r="J725" s="942"/>
      <c r="K725" s="942"/>
      <c r="L725" s="942"/>
      <c r="M725" s="940"/>
    </row>
    <row r="726" spans="5:13" ht="12.75">
      <c r="E726" s="942"/>
      <c r="F726" s="942"/>
      <c r="G726" s="942"/>
      <c r="H726" s="942"/>
      <c r="I726" s="942"/>
      <c r="J726" s="942"/>
      <c r="K726" s="942"/>
      <c r="L726" s="942"/>
      <c r="M726" s="940"/>
    </row>
    <row r="727" spans="5:13" ht="12.75">
      <c r="E727" s="940"/>
      <c r="F727" s="940"/>
      <c r="G727" s="940"/>
      <c r="H727" s="940"/>
      <c r="I727" s="940"/>
      <c r="J727" s="940"/>
      <c r="K727" s="940"/>
      <c r="L727" s="940"/>
      <c r="M727" s="940"/>
    </row>
    <row r="728" spans="5:13" ht="12.75">
      <c r="E728" s="940"/>
      <c r="F728" s="940"/>
      <c r="G728" s="940"/>
      <c r="H728" s="940"/>
      <c r="I728" s="940"/>
      <c r="J728" s="940"/>
      <c r="K728" s="940"/>
      <c r="L728" s="940"/>
      <c r="M728" s="940"/>
    </row>
    <row r="729" spans="5:13" ht="12.75">
      <c r="E729" s="940"/>
      <c r="F729" s="940"/>
      <c r="G729" s="940"/>
      <c r="H729" s="940"/>
      <c r="I729" s="940"/>
      <c r="J729" s="940"/>
      <c r="K729" s="940"/>
      <c r="L729" s="940"/>
      <c r="M729" s="940"/>
    </row>
    <row r="730" spans="5:13" ht="12.75">
      <c r="E730" s="940"/>
      <c r="F730" s="940"/>
      <c r="G730" s="940"/>
      <c r="H730" s="940"/>
      <c r="I730" s="940"/>
      <c r="J730" s="940"/>
      <c r="K730" s="940"/>
      <c r="L730" s="940"/>
      <c r="M730" s="940"/>
    </row>
    <row r="731" spans="5:13" ht="12.75">
      <c r="E731" s="940"/>
      <c r="F731" s="940"/>
      <c r="G731" s="940"/>
      <c r="H731" s="940"/>
      <c r="I731" s="940"/>
      <c r="J731" s="940"/>
      <c r="K731" s="940"/>
      <c r="L731" s="940"/>
      <c r="M731" s="940"/>
    </row>
    <row r="732" spans="5:13" ht="12.75">
      <c r="E732" s="940"/>
      <c r="F732" s="940"/>
      <c r="G732" s="940"/>
      <c r="H732" s="940"/>
      <c r="I732" s="940"/>
      <c r="J732" s="940"/>
      <c r="K732" s="940"/>
      <c r="L732" s="940"/>
      <c r="M732" s="940"/>
    </row>
    <row r="733" spans="5:13" ht="12.75">
      <c r="E733" s="940"/>
      <c r="F733" s="940"/>
      <c r="G733" s="940"/>
      <c r="H733" s="940"/>
      <c r="I733" s="940"/>
      <c r="J733" s="940"/>
      <c r="K733" s="940"/>
      <c r="L733" s="940"/>
      <c r="M733" s="940"/>
    </row>
    <row r="734" spans="5:13" ht="12.75">
      <c r="E734" s="940"/>
      <c r="F734" s="940"/>
      <c r="G734" s="940"/>
      <c r="H734" s="940"/>
      <c r="I734" s="940"/>
      <c r="J734" s="940"/>
      <c r="K734" s="940"/>
      <c r="L734" s="940"/>
      <c r="M734" s="940"/>
    </row>
    <row r="735" spans="5:13" ht="12.75">
      <c r="E735" s="940"/>
      <c r="F735" s="940"/>
      <c r="G735" s="940"/>
      <c r="H735" s="940"/>
      <c r="I735" s="940"/>
      <c r="J735" s="940"/>
      <c r="K735" s="940"/>
      <c r="L735" s="940"/>
      <c r="M735" s="940"/>
    </row>
    <row r="736" spans="5:13" ht="12.75">
      <c r="E736" s="940"/>
      <c r="F736" s="940"/>
      <c r="G736" s="940"/>
      <c r="H736" s="940"/>
      <c r="I736" s="940"/>
      <c r="J736" s="940"/>
      <c r="K736" s="940"/>
      <c r="L736" s="940"/>
      <c r="M736" s="940"/>
    </row>
    <row r="737" spans="5:13" ht="12.75">
      <c r="E737" s="940"/>
      <c r="F737" s="940"/>
      <c r="G737" s="940"/>
      <c r="H737" s="940"/>
      <c r="I737" s="940"/>
      <c r="J737" s="940"/>
      <c r="K737" s="940"/>
      <c r="L737" s="940"/>
      <c r="M737" s="940"/>
    </row>
    <row r="738" spans="5:13" ht="12.75">
      <c r="E738" s="940"/>
      <c r="F738" s="940"/>
      <c r="G738" s="940"/>
      <c r="H738" s="940"/>
      <c r="I738" s="940"/>
      <c r="J738" s="940"/>
      <c r="K738" s="940"/>
      <c r="L738" s="940"/>
      <c r="M738" s="940"/>
    </row>
    <row r="739" spans="5:13" ht="12.75">
      <c r="E739" s="940"/>
      <c r="F739" s="940"/>
      <c r="G739" s="940"/>
      <c r="H739" s="940"/>
      <c r="I739" s="940"/>
      <c r="J739" s="940"/>
      <c r="K739" s="940"/>
      <c r="L739" s="940"/>
      <c r="M739" s="940"/>
    </row>
    <row r="740" spans="5:13" ht="12.75">
      <c r="E740" s="940"/>
      <c r="F740" s="940"/>
      <c r="G740" s="940"/>
      <c r="H740" s="940"/>
      <c r="I740" s="940"/>
      <c r="J740" s="940"/>
      <c r="K740" s="940"/>
      <c r="L740" s="940"/>
      <c r="M740" s="940"/>
    </row>
    <row r="741" spans="5:13" ht="12.75">
      <c r="E741" s="940"/>
      <c r="F741" s="940"/>
      <c r="G741" s="940"/>
      <c r="H741" s="940"/>
      <c r="I741" s="940"/>
      <c r="J741" s="940"/>
      <c r="K741" s="940"/>
      <c r="L741" s="940"/>
      <c r="M741" s="940"/>
    </row>
    <row r="742" spans="5:13" ht="12.75">
      <c r="E742" s="940"/>
      <c r="F742" s="940"/>
      <c r="G742" s="940"/>
      <c r="H742" s="940"/>
      <c r="I742" s="940"/>
      <c r="J742" s="940"/>
      <c r="K742" s="940"/>
      <c r="L742" s="940"/>
      <c r="M742" s="940"/>
    </row>
    <row r="743" spans="5:13" ht="12.75">
      <c r="E743" s="940"/>
      <c r="F743" s="940"/>
      <c r="G743" s="940"/>
      <c r="H743" s="940"/>
      <c r="I743" s="940"/>
      <c r="J743" s="940"/>
      <c r="K743" s="940"/>
      <c r="L743" s="940"/>
      <c r="M743" s="940"/>
    </row>
    <row r="744" spans="5:13" ht="12.75">
      <c r="E744" s="940"/>
      <c r="F744" s="940"/>
      <c r="G744" s="940"/>
      <c r="H744" s="940"/>
      <c r="I744" s="940"/>
      <c r="J744" s="940"/>
      <c r="K744" s="940"/>
      <c r="L744" s="940"/>
      <c r="M744" s="940"/>
    </row>
    <row r="745" spans="5:13" ht="12.75">
      <c r="E745" s="940"/>
      <c r="F745" s="940"/>
      <c r="G745" s="940"/>
      <c r="H745" s="940"/>
      <c r="I745" s="940"/>
      <c r="J745" s="940"/>
      <c r="K745" s="940"/>
      <c r="L745" s="940"/>
      <c r="M745" s="940"/>
    </row>
    <row r="746" spans="5:13" ht="12.75">
      <c r="E746" s="940"/>
      <c r="F746" s="940"/>
      <c r="G746" s="940"/>
      <c r="H746" s="940"/>
      <c r="I746" s="940"/>
      <c r="J746" s="940"/>
      <c r="K746" s="940"/>
      <c r="L746" s="940"/>
      <c r="M746" s="940"/>
    </row>
    <row r="747" spans="5:13" ht="12.75">
      <c r="E747" s="940"/>
      <c r="F747" s="940"/>
      <c r="G747" s="940"/>
      <c r="H747" s="940"/>
      <c r="I747" s="940"/>
      <c r="J747" s="940"/>
      <c r="K747" s="940"/>
      <c r="L747" s="940"/>
      <c r="M747" s="940"/>
    </row>
    <row r="748" spans="5:13" ht="12.75">
      <c r="E748" s="940"/>
      <c r="F748" s="940"/>
      <c r="G748" s="940"/>
      <c r="H748" s="940"/>
      <c r="I748" s="940"/>
      <c r="J748" s="940"/>
      <c r="K748" s="940"/>
      <c r="L748" s="940"/>
      <c r="M748" s="940"/>
    </row>
    <row r="749" spans="5:13" ht="12.75">
      <c r="E749" s="940"/>
      <c r="F749" s="940"/>
      <c r="G749" s="940"/>
      <c r="H749" s="940"/>
      <c r="I749" s="940"/>
      <c r="J749" s="940"/>
      <c r="K749" s="940"/>
      <c r="L749" s="940"/>
      <c r="M749" s="940"/>
    </row>
    <row r="750" spans="5:13" ht="12.75">
      <c r="E750" s="940"/>
      <c r="F750" s="940"/>
      <c r="G750" s="940"/>
      <c r="H750" s="940"/>
      <c r="I750" s="940"/>
      <c r="J750" s="940"/>
      <c r="K750" s="940"/>
      <c r="L750" s="940"/>
      <c r="M750" s="940"/>
    </row>
    <row r="751" spans="5:13" ht="12.75">
      <c r="E751" s="940"/>
      <c r="F751" s="940"/>
      <c r="G751" s="940"/>
      <c r="H751" s="940"/>
      <c r="I751" s="940"/>
      <c r="J751" s="940"/>
      <c r="K751" s="940"/>
      <c r="L751" s="940"/>
      <c r="M751" s="940"/>
    </row>
  </sheetData>
  <sheetProtection/>
  <mergeCells count="35">
    <mergeCell ref="C714:D714"/>
    <mergeCell ref="C706:D706"/>
    <mergeCell ref="C705:D705"/>
    <mergeCell ref="C707:D707"/>
    <mergeCell ref="C709:D709"/>
    <mergeCell ref="D7:D8"/>
    <mergeCell ref="C704:D704"/>
    <mergeCell ref="C708:D708"/>
    <mergeCell ref="C710:D710"/>
    <mergeCell ref="C711:D711"/>
    <mergeCell ref="C713:D713"/>
    <mergeCell ref="C701:D701"/>
    <mergeCell ref="C702:D702"/>
    <mergeCell ref="C703:D703"/>
    <mergeCell ref="C712:D712"/>
    <mergeCell ref="F7:F8"/>
    <mergeCell ref="C699:D699"/>
    <mergeCell ref="C700:D700"/>
    <mergeCell ref="A692:D692"/>
    <mergeCell ref="G7:G8"/>
    <mergeCell ref="C694:D694"/>
    <mergeCell ref="C695:D695"/>
    <mergeCell ref="C696:D696"/>
    <mergeCell ref="C697:D697"/>
    <mergeCell ref="C698:D698"/>
    <mergeCell ref="H7:H8"/>
    <mergeCell ref="K7:K8"/>
    <mergeCell ref="L7:L8"/>
    <mergeCell ref="A4:K4"/>
    <mergeCell ref="A5:K5"/>
    <mergeCell ref="J7:J8"/>
    <mergeCell ref="A7:A8"/>
    <mergeCell ref="B7:B8"/>
    <mergeCell ref="C7:C8"/>
    <mergeCell ref="E7:E8"/>
  </mergeCells>
  <printOptions/>
  <pageMargins left="0" right="0" top="0.5905511811023623" bottom="0.3937007874015748" header="0.31496062992125984" footer="0.11811023622047245"/>
  <pageSetup fitToHeight="0" fitToWidth="1" horizontalDpi="600" verticalDpi="600" orientation="landscape" paperSize="9" scale="9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140625" style="110" customWidth="1"/>
    <col min="2" max="2" width="6.00390625" style="110" customWidth="1"/>
    <col min="3" max="3" width="57.8515625" style="110" customWidth="1"/>
    <col min="4" max="4" width="14.8515625" style="110" customWidth="1"/>
    <col min="5" max="5" width="13.7109375" style="110" customWidth="1"/>
    <col min="6" max="6" width="14.28125" style="110" customWidth="1"/>
    <col min="7" max="7" width="13.7109375" style="110" customWidth="1"/>
    <col min="8" max="8" width="9.8515625" style="110" customWidth="1"/>
    <col min="9" max="16384" width="9.140625" style="110" customWidth="1"/>
  </cols>
  <sheetData>
    <row r="1" spans="4:6" ht="12.75">
      <c r="D1" s="111"/>
      <c r="E1" s="111"/>
      <c r="F1" s="1471" t="s">
        <v>837</v>
      </c>
    </row>
    <row r="2" spans="4:6" ht="12.75">
      <c r="D2" s="1749"/>
      <c r="E2" s="1749"/>
      <c r="F2" s="1749"/>
    </row>
    <row r="3" spans="4:6" ht="12.75">
      <c r="D3" s="1749"/>
      <c r="E3" s="1749"/>
      <c r="F3" s="1749"/>
    </row>
    <row r="4" spans="1:8" ht="19.5" customHeight="1">
      <c r="A4" s="1750" t="s">
        <v>353</v>
      </c>
      <c r="B4" s="1750"/>
      <c r="C4" s="1750"/>
      <c r="D4" s="1750"/>
      <c r="E4" s="1750"/>
      <c r="F4" s="1750"/>
      <c r="G4" s="1750"/>
      <c r="H4" s="1750"/>
    </row>
    <row r="5" spans="1:8" ht="21" customHeight="1">
      <c r="A5" s="1751" t="s">
        <v>362</v>
      </c>
      <c r="B5" s="1751"/>
      <c r="C5" s="1751"/>
      <c r="D5" s="1751"/>
      <c r="E5" s="1751"/>
      <c r="F5" s="1751"/>
      <c r="G5" s="1751"/>
      <c r="H5" s="1751"/>
    </row>
    <row r="6" spans="1:8" ht="21" customHeight="1">
      <c r="A6" s="1752" t="s">
        <v>878</v>
      </c>
      <c r="B6" s="1752"/>
      <c r="C6" s="1752"/>
      <c r="D6" s="1752"/>
      <c r="E6" s="1752"/>
      <c r="F6" s="1752"/>
      <c r="G6" s="1752"/>
      <c r="H6" s="1752"/>
    </row>
    <row r="7" ht="13.5" thickBot="1"/>
    <row r="8" spans="1:8" ht="15" customHeight="1" thickBot="1">
      <c r="A8" s="1755" t="s">
        <v>99</v>
      </c>
      <c r="B8" s="1756" t="s">
        <v>2</v>
      </c>
      <c r="C8" s="1736" t="s">
        <v>100</v>
      </c>
      <c r="D8" s="1737" t="s">
        <v>879</v>
      </c>
      <c r="E8" s="1738"/>
      <c r="F8" s="1737" t="s">
        <v>880</v>
      </c>
      <c r="G8" s="1738"/>
      <c r="H8" s="1743" t="s">
        <v>85</v>
      </c>
    </row>
    <row r="9" spans="1:8" ht="15.75" customHeight="1" thickBot="1">
      <c r="A9" s="1755"/>
      <c r="B9" s="1756"/>
      <c r="C9" s="1736"/>
      <c r="D9" s="1741" t="s">
        <v>359</v>
      </c>
      <c r="E9" s="1739" t="s">
        <v>360</v>
      </c>
      <c r="F9" s="1741" t="s">
        <v>359</v>
      </c>
      <c r="G9" s="1753" t="s">
        <v>360</v>
      </c>
      <c r="H9" s="1744"/>
    </row>
    <row r="10" spans="1:8" ht="21" customHeight="1">
      <c r="A10" s="1755"/>
      <c r="B10" s="1756"/>
      <c r="C10" s="1736"/>
      <c r="D10" s="1742"/>
      <c r="E10" s="1740"/>
      <c r="F10" s="1742"/>
      <c r="G10" s="1754"/>
      <c r="H10" s="1745"/>
    </row>
    <row r="11" spans="1:8" ht="24" customHeight="1">
      <c r="A11" s="1468" t="s">
        <v>101</v>
      </c>
      <c r="B11" s="859">
        <v>992</v>
      </c>
      <c r="C11" s="857" t="s">
        <v>102</v>
      </c>
      <c r="D11" s="860"/>
      <c r="E11" s="874">
        <v>419800</v>
      </c>
      <c r="F11" s="860"/>
      <c r="G11" s="872">
        <v>419800</v>
      </c>
      <c r="H11" s="881">
        <f aca="true" t="shared" si="0" ref="H11:H17">G11/E11</f>
        <v>1</v>
      </c>
    </row>
    <row r="12" spans="1:8" ht="24" customHeight="1">
      <c r="A12" s="1468" t="s">
        <v>103</v>
      </c>
      <c r="B12" s="859">
        <v>992</v>
      </c>
      <c r="C12" s="857" t="s">
        <v>102</v>
      </c>
      <c r="D12" s="860"/>
      <c r="E12" s="874">
        <v>125000</v>
      </c>
      <c r="F12" s="860"/>
      <c r="G12" s="872">
        <v>125000</v>
      </c>
      <c r="H12" s="881">
        <f t="shared" si="0"/>
        <v>1</v>
      </c>
    </row>
    <row r="13" spans="1:8" ht="24" customHeight="1">
      <c r="A13" s="1468" t="s">
        <v>104</v>
      </c>
      <c r="B13" s="859">
        <v>992</v>
      </c>
      <c r="C13" s="857" t="s">
        <v>102</v>
      </c>
      <c r="D13" s="860"/>
      <c r="E13" s="874">
        <v>732000</v>
      </c>
      <c r="F13" s="860"/>
      <c r="G13" s="872">
        <v>732000</v>
      </c>
      <c r="H13" s="881">
        <f t="shared" si="0"/>
        <v>1</v>
      </c>
    </row>
    <row r="14" spans="1:8" ht="24" customHeight="1">
      <c r="A14" s="1469" t="s">
        <v>105</v>
      </c>
      <c r="B14" s="861">
        <v>992</v>
      </c>
      <c r="C14" s="857" t="s">
        <v>102</v>
      </c>
      <c r="D14" s="863"/>
      <c r="E14" s="875">
        <v>400000</v>
      </c>
      <c r="F14" s="863"/>
      <c r="G14" s="873">
        <v>400000</v>
      </c>
      <c r="H14" s="881">
        <f t="shared" si="0"/>
        <v>1</v>
      </c>
    </row>
    <row r="15" spans="1:8" ht="24" customHeight="1">
      <c r="A15" s="1469" t="s">
        <v>106</v>
      </c>
      <c r="B15" s="861">
        <v>992</v>
      </c>
      <c r="C15" s="857" t="s">
        <v>102</v>
      </c>
      <c r="D15" s="863"/>
      <c r="E15" s="875">
        <v>137000</v>
      </c>
      <c r="F15" s="863"/>
      <c r="G15" s="873">
        <v>137000</v>
      </c>
      <c r="H15" s="881">
        <f t="shared" si="0"/>
        <v>1</v>
      </c>
    </row>
    <row r="16" spans="1:8" ht="24" customHeight="1">
      <c r="A16" s="1469" t="s">
        <v>107</v>
      </c>
      <c r="B16" s="861">
        <v>992</v>
      </c>
      <c r="C16" s="857" t="s">
        <v>102</v>
      </c>
      <c r="D16" s="863"/>
      <c r="E16" s="875">
        <v>72351.89</v>
      </c>
      <c r="F16" s="863"/>
      <c r="G16" s="1563">
        <v>72351.89</v>
      </c>
      <c r="H16" s="1562">
        <f t="shared" si="0"/>
        <v>1</v>
      </c>
    </row>
    <row r="17" spans="1:8" ht="24" customHeight="1">
      <c r="A17" s="1469" t="s">
        <v>342</v>
      </c>
      <c r="B17" s="861">
        <v>992</v>
      </c>
      <c r="C17" s="857" t="s">
        <v>102</v>
      </c>
      <c r="D17" s="863"/>
      <c r="E17" s="875">
        <v>735000</v>
      </c>
      <c r="F17" s="863"/>
      <c r="G17" s="1563">
        <v>735000</v>
      </c>
      <c r="H17" s="1562">
        <f t="shared" si="0"/>
        <v>1</v>
      </c>
    </row>
    <row r="18" spans="1:8" ht="33.75" customHeight="1">
      <c r="A18" s="1556" t="s">
        <v>343</v>
      </c>
      <c r="B18" s="1557">
        <v>931</v>
      </c>
      <c r="C18" s="1558" t="s">
        <v>899</v>
      </c>
      <c r="D18" s="1559">
        <v>2600000</v>
      </c>
      <c r="E18" s="1560"/>
      <c r="F18" s="1559"/>
      <c r="G18" s="1561"/>
      <c r="H18" s="883">
        <f>F18/D18</f>
        <v>0</v>
      </c>
    </row>
    <row r="19" spans="1:8" ht="21.75" customHeight="1" hidden="1">
      <c r="A19" s="1470"/>
      <c r="B19" s="865"/>
      <c r="C19" s="886"/>
      <c r="D19" s="866"/>
      <c r="E19" s="876"/>
      <c r="F19" s="866"/>
      <c r="G19" s="879"/>
      <c r="H19" s="882"/>
    </row>
    <row r="20" spans="1:8" ht="14.25" hidden="1">
      <c r="A20" s="1470"/>
      <c r="B20" s="887"/>
      <c r="C20" s="888"/>
      <c r="D20" s="889"/>
      <c r="E20" s="890"/>
      <c r="F20" s="889"/>
      <c r="G20" s="891"/>
      <c r="H20" s="892"/>
    </row>
    <row r="21" spans="1:8" ht="14.25" hidden="1">
      <c r="A21" s="1470"/>
      <c r="B21" s="887"/>
      <c r="C21" s="888"/>
      <c r="D21" s="893"/>
      <c r="E21" s="894"/>
      <c r="F21" s="893"/>
      <c r="G21" s="891"/>
      <c r="H21" s="895"/>
    </row>
    <row r="22" spans="1:8" ht="33.75" customHeight="1">
      <c r="A22" s="1469" t="s">
        <v>344</v>
      </c>
      <c r="B22" s="861">
        <v>950</v>
      </c>
      <c r="C22" s="858" t="s">
        <v>361</v>
      </c>
      <c r="D22" s="862">
        <v>2188804.57</v>
      </c>
      <c r="E22" s="864"/>
      <c r="F22" s="863">
        <v>3057097.82</v>
      </c>
      <c r="G22" s="880"/>
      <c r="H22" s="883">
        <f>F22/D22</f>
        <v>1.3966974767418363</v>
      </c>
    </row>
    <row r="23" spans="1:8" ht="32.25" customHeight="1">
      <c r="A23" s="867"/>
      <c r="B23" s="868"/>
      <c r="C23" s="869" t="s">
        <v>108</v>
      </c>
      <c r="D23" s="877">
        <f>D18+D22</f>
        <v>4788804.57</v>
      </c>
      <c r="E23" s="878">
        <f>E11+E12+E13+E14+E15+E16+E17</f>
        <v>2621151.8899999997</v>
      </c>
      <c r="F23" s="870">
        <f>F18+F22</f>
        <v>3057097.82</v>
      </c>
      <c r="G23" s="871">
        <f>SUM(G11:G18)</f>
        <v>2621151.8899999997</v>
      </c>
      <c r="H23" s="884" t="s">
        <v>351</v>
      </c>
    </row>
    <row r="24" spans="1:8" ht="30.75" customHeight="1" thickBot="1">
      <c r="A24" s="112"/>
      <c r="B24" s="113"/>
      <c r="C24" s="114" t="s">
        <v>109</v>
      </c>
      <c r="D24" s="1746">
        <f>D23-E23</f>
        <v>2167652.6800000006</v>
      </c>
      <c r="E24" s="1747"/>
      <c r="F24" s="1748">
        <f>F23-G23</f>
        <v>435945.93000000017</v>
      </c>
      <c r="G24" s="1747"/>
      <c r="H24" s="885" t="s">
        <v>351</v>
      </c>
    </row>
  </sheetData>
  <sheetProtection selectLockedCells="1" selectUnlockedCells="1"/>
  <mergeCells count="17">
    <mergeCell ref="D2:F2"/>
    <mergeCell ref="D3:F3"/>
    <mergeCell ref="F8:G8"/>
    <mergeCell ref="F9:F10"/>
    <mergeCell ref="A4:H4"/>
    <mergeCell ref="A5:H5"/>
    <mergeCell ref="A6:H6"/>
    <mergeCell ref="G9:G10"/>
    <mergeCell ref="A8:A10"/>
    <mergeCell ref="B8:B10"/>
    <mergeCell ref="C8:C10"/>
    <mergeCell ref="D8:E8"/>
    <mergeCell ref="E9:E10"/>
    <mergeCell ref="D9:D10"/>
    <mergeCell ref="H8:H10"/>
    <mergeCell ref="D24:E24"/>
    <mergeCell ref="F24:G2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2">
      <selection activeCell="H13" sqref="H13"/>
    </sheetView>
  </sheetViews>
  <sheetFormatPr defaultColWidth="9.140625" defaultRowHeight="15"/>
  <cols>
    <col min="1" max="1" width="4.00390625" style="115" customWidth="1"/>
    <col min="2" max="2" width="60.7109375" style="115" customWidth="1"/>
    <col min="3" max="3" width="6.140625" style="115" customWidth="1"/>
    <col min="4" max="4" width="8.00390625" style="115" customWidth="1"/>
    <col min="5" max="5" width="8.7109375" style="115" customWidth="1"/>
    <col min="6" max="6" width="13.421875" style="115" customWidth="1"/>
    <col min="7" max="7" width="13.8515625" style="115" customWidth="1"/>
    <col min="8" max="8" width="14.57421875" style="115" customWidth="1"/>
    <col min="9" max="9" width="11.7109375" style="115" customWidth="1"/>
    <col min="10" max="10" width="24.00390625" style="115" hidden="1" customWidth="1"/>
    <col min="11" max="11" width="11.7109375" style="115" bestFit="1" customWidth="1"/>
    <col min="12" max="16384" width="9.140625" style="115" customWidth="1"/>
  </cols>
  <sheetData>
    <row r="1" spans="7:10" ht="15" customHeight="1">
      <c r="G1" s="1764" t="s">
        <v>363</v>
      </c>
      <c r="H1" s="1764"/>
      <c r="I1" s="1764"/>
      <c r="J1" s="1764"/>
    </row>
    <row r="2" ht="12.75">
      <c r="J2" s="116"/>
    </row>
    <row r="3" spans="2:10" s="117" customFormat="1" ht="15.75">
      <c r="B3" s="1771" t="s">
        <v>881</v>
      </c>
      <c r="C3" s="1771"/>
      <c r="D3" s="1771"/>
      <c r="E3" s="1771"/>
      <c r="F3" s="1771"/>
      <c r="G3" s="1771"/>
      <c r="H3" s="1771"/>
      <c r="I3" s="1771"/>
      <c r="J3" s="1771"/>
    </row>
    <row r="4" spans="1:10" s="117" customFormat="1" ht="25.5">
      <c r="A4" s="1757" t="s">
        <v>99</v>
      </c>
      <c r="B4" s="1757" t="s">
        <v>110</v>
      </c>
      <c r="C4" s="1760" t="s">
        <v>111</v>
      </c>
      <c r="D4" s="1760" t="s">
        <v>1</v>
      </c>
      <c r="E4" s="1760" t="s">
        <v>112</v>
      </c>
      <c r="F4" s="1757" t="s">
        <v>882</v>
      </c>
      <c r="G4" s="1766" t="s">
        <v>883</v>
      </c>
      <c r="H4" s="907" t="s">
        <v>96</v>
      </c>
      <c r="I4" s="1765" t="s">
        <v>85</v>
      </c>
      <c r="J4" s="1757" t="s">
        <v>113</v>
      </c>
    </row>
    <row r="5" spans="1:10" ht="51">
      <c r="A5" s="1757"/>
      <c r="B5" s="1757"/>
      <c r="C5" s="1760"/>
      <c r="D5" s="1760"/>
      <c r="E5" s="1760"/>
      <c r="F5" s="1757"/>
      <c r="G5" s="1757"/>
      <c r="H5" s="906" t="s">
        <v>884</v>
      </c>
      <c r="I5" s="1765"/>
      <c r="J5" s="1757"/>
    </row>
    <row r="6" spans="1:10" ht="12.75">
      <c r="A6" s="919">
        <v>1</v>
      </c>
      <c r="B6" s="919">
        <v>2</v>
      </c>
      <c r="C6" s="1772">
        <v>3</v>
      </c>
      <c r="D6" s="1772"/>
      <c r="E6" s="1772"/>
      <c r="F6" s="919" t="s">
        <v>125</v>
      </c>
      <c r="G6" s="919" t="s">
        <v>129</v>
      </c>
      <c r="H6" s="919" t="s">
        <v>114</v>
      </c>
      <c r="I6" s="920" t="s">
        <v>115</v>
      </c>
      <c r="J6" s="919" t="s">
        <v>116</v>
      </c>
    </row>
    <row r="7" spans="1:11" ht="42.75" customHeight="1">
      <c r="A7" s="130" t="s">
        <v>834</v>
      </c>
      <c r="B7" s="1569" t="s">
        <v>903</v>
      </c>
      <c r="C7" s="916" t="s">
        <v>7</v>
      </c>
      <c r="D7" s="916" t="s">
        <v>867</v>
      </c>
      <c r="E7" s="916" t="s">
        <v>869</v>
      </c>
      <c r="F7" s="917">
        <v>500000</v>
      </c>
      <c r="G7" s="896">
        <v>500000</v>
      </c>
      <c r="H7" s="896">
        <v>0</v>
      </c>
      <c r="I7" s="918">
        <f aca="true" t="shared" si="0" ref="I7:I12">G7/F7</f>
        <v>1</v>
      </c>
      <c r="J7" s="120" t="s">
        <v>121</v>
      </c>
      <c r="K7" s="150"/>
    </row>
    <row r="8" spans="1:10" ht="42.75" customHeight="1">
      <c r="A8" s="118" t="s">
        <v>122</v>
      </c>
      <c r="B8" s="1570" t="s">
        <v>904</v>
      </c>
      <c r="C8" s="122" t="s">
        <v>7</v>
      </c>
      <c r="D8" s="122" t="s">
        <v>9</v>
      </c>
      <c r="E8" s="122" t="s">
        <v>127</v>
      </c>
      <c r="F8" s="119">
        <v>13000</v>
      </c>
      <c r="G8" s="119">
        <v>12215.64</v>
      </c>
      <c r="H8" s="119">
        <v>0</v>
      </c>
      <c r="I8" s="918">
        <f t="shared" si="0"/>
        <v>0.9396646153846153</v>
      </c>
      <c r="J8" s="120" t="s">
        <v>123</v>
      </c>
    </row>
    <row r="9" spans="1:10" ht="39.75" customHeight="1">
      <c r="A9" s="1593" t="s">
        <v>124</v>
      </c>
      <c r="B9" s="1594" t="s">
        <v>905</v>
      </c>
      <c r="C9" s="1595" t="s">
        <v>118</v>
      </c>
      <c r="D9" s="1595" t="s">
        <v>126</v>
      </c>
      <c r="E9" s="1595" t="s">
        <v>127</v>
      </c>
      <c r="F9" s="1587">
        <v>218924.4</v>
      </c>
      <c r="G9" s="1587">
        <v>218924.4</v>
      </c>
      <c r="H9" s="1587">
        <v>0</v>
      </c>
      <c r="I9" s="918">
        <f t="shared" si="0"/>
        <v>1</v>
      </c>
      <c r="J9" s="921" t="s">
        <v>123</v>
      </c>
    </row>
    <row r="10" spans="1:10" ht="45">
      <c r="A10" s="123" t="s">
        <v>125</v>
      </c>
      <c r="B10" s="1571" t="s">
        <v>906</v>
      </c>
      <c r="C10" s="922" t="s">
        <v>118</v>
      </c>
      <c r="D10" s="922" t="s">
        <v>126</v>
      </c>
      <c r="E10" s="922" t="s">
        <v>127</v>
      </c>
      <c r="F10" s="896">
        <v>2619297</v>
      </c>
      <c r="G10" s="896">
        <v>0</v>
      </c>
      <c r="H10" s="896">
        <v>0</v>
      </c>
      <c r="I10" s="908">
        <f t="shared" si="0"/>
        <v>0</v>
      </c>
      <c r="J10" s="921" t="s">
        <v>128</v>
      </c>
    </row>
    <row r="11" spans="1:10" ht="39.75" customHeight="1">
      <c r="A11" s="126" t="s">
        <v>129</v>
      </c>
      <c r="B11" s="1572" t="s">
        <v>907</v>
      </c>
      <c r="C11" s="127" t="s">
        <v>118</v>
      </c>
      <c r="D11" s="127" t="s">
        <v>126</v>
      </c>
      <c r="E11" s="127" t="s">
        <v>127</v>
      </c>
      <c r="F11" s="128">
        <v>113244.76</v>
      </c>
      <c r="G11" s="128">
        <v>113244.76</v>
      </c>
      <c r="H11" s="128">
        <v>113244.76</v>
      </c>
      <c r="I11" s="910">
        <f t="shared" si="0"/>
        <v>1</v>
      </c>
      <c r="J11" s="925" t="s">
        <v>130</v>
      </c>
    </row>
    <row r="12" spans="1:10" ht="43.5" customHeight="1">
      <c r="A12" s="126" t="s">
        <v>114</v>
      </c>
      <c r="B12" s="1573" t="s">
        <v>908</v>
      </c>
      <c r="C12" s="127" t="s">
        <v>118</v>
      </c>
      <c r="D12" s="127" t="s">
        <v>126</v>
      </c>
      <c r="E12" s="127" t="s">
        <v>127</v>
      </c>
      <c r="F12" s="128">
        <v>577325.6</v>
      </c>
      <c r="G12" s="1670">
        <v>555554.38</v>
      </c>
      <c r="H12" s="128">
        <v>190000</v>
      </c>
      <c r="I12" s="910">
        <f t="shared" si="0"/>
        <v>0.9622895295133284</v>
      </c>
      <c r="J12" s="924" t="s">
        <v>130</v>
      </c>
    </row>
    <row r="13" spans="1:10" ht="43.5" customHeight="1">
      <c r="A13" s="124" t="s">
        <v>115</v>
      </c>
      <c r="B13" s="1571" t="s">
        <v>909</v>
      </c>
      <c r="C13" s="922" t="s">
        <v>118</v>
      </c>
      <c r="D13" s="922" t="s">
        <v>126</v>
      </c>
      <c r="E13" s="922" t="s">
        <v>127</v>
      </c>
      <c r="F13" s="896">
        <v>67000</v>
      </c>
      <c r="G13" s="1669">
        <v>0</v>
      </c>
      <c r="H13" s="133">
        <v>0</v>
      </c>
      <c r="I13" s="911">
        <f aca="true" t="shared" si="1" ref="I13:I18">G13/F13</f>
        <v>0</v>
      </c>
      <c r="J13" s="924" t="s">
        <v>130</v>
      </c>
    </row>
    <row r="14" spans="1:10" ht="45">
      <c r="A14" s="124" t="s">
        <v>116</v>
      </c>
      <c r="B14" s="1574" t="s">
        <v>910</v>
      </c>
      <c r="C14" s="134" t="s">
        <v>118</v>
      </c>
      <c r="D14" s="134" t="s">
        <v>126</v>
      </c>
      <c r="E14" s="134" t="s">
        <v>127</v>
      </c>
      <c r="F14" s="135">
        <v>4000</v>
      </c>
      <c r="G14" s="133">
        <v>4000</v>
      </c>
      <c r="H14" s="135">
        <v>0</v>
      </c>
      <c r="I14" s="910">
        <f t="shared" si="1"/>
        <v>1</v>
      </c>
      <c r="J14" s="121" t="s">
        <v>131</v>
      </c>
    </row>
    <row r="15" spans="1:10" ht="37.5" customHeight="1">
      <c r="A15" s="124" t="s">
        <v>117</v>
      </c>
      <c r="B15" s="1575" t="s">
        <v>911</v>
      </c>
      <c r="C15" s="131" t="s">
        <v>118</v>
      </c>
      <c r="D15" s="131" t="s">
        <v>126</v>
      </c>
      <c r="E15" s="131" t="s">
        <v>127</v>
      </c>
      <c r="F15" s="133">
        <v>30000</v>
      </c>
      <c r="G15" s="133">
        <v>29780</v>
      </c>
      <c r="H15" s="133">
        <v>0</v>
      </c>
      <c r="I15" s="911">
        <f t="shared" si="1"/>
        <v>0.9926666666666667</v>
      </c>
      <c r="J15" s="121" t="s">
        <v>132</v>
      </c>
    </row>
    <row r="16" spans="1:10" ht="39" customHeight="1">
      <c r="A16" s="124" t="s">
        <v>133</v>
      </c>
      <c r="B16" s="1571" t="s">
        <v>912</v>
      </c>
      <c r="C16" s="922" t="s">
        <v>118</v>
      </c>
      <c r="D16" s="922" t="s">
        <v>126</v>
      </c>
      <c r="E16" s="922" t="s">
        <v>127</v>
      </c>
      <c r="F16" s="896">
        <v>18000</v>
      </c>
      <c r="G16" s="133">
        <v>14800</v>
      </c>
      <c r="H16" s="133">
        <v>0</v>
      </c>
      <c r="I16" s="911">
        <f t="shared" si="1"/>
        <v>0.8222222222222222</v>
      </c>
      <c r="J16" s="924" t="s">
        <v>130</v>
      </c>
    </row>
    <row r="17" spans="1:10" ht="39" customHeight="1">
      <c r="A17" s="130" t="s">
        <v>134</v>
      </c>
      <c r="B17" s="1570" t="s">
        <v>913</v>
      </c>
      <c r="C17" s="122" t="s">
        <v>118</v>
      </c>
      <c r="D17" s="122" t="s">
        <v>126</v>
      </c>
      <c r="E17" s="122" t="s">
        <v>127</v>
      </c>
      <c r="F17" s="119">
        <v>12000</v>
      </c>
      <c r="G17" s="1669">
        <v>11200</v>
      </c>
      <c r="H17" s="135">
        <v>0</v>
      </c>
      <c r="I17" s="910">
        <f t="shared" si="1"/>
        <v>0.9333333333333333</v>
      </c>
      <c r="J17" s="924" t="s">
        <v>130</v>
      </c>
    </row>
    <row r="18" spans="1:10" ht="36" customHeight="1">
      <c r="A18" s="126" t="s">
        <v>135</v>
      </c>
      <c r="B18" s="1574" t="s">
        <v>914</v>
      </c>
      <c r="C18" s="134" t="s">
        <v>118</v>
      </c>
      <c r="D18" s="134" t="s">
        <v>126</v>
      </c>
      <c r="E18" s="134" t="s">
        <v>127</v>
      </c>
      <c r="F18" s="135">
        <v>6000</v>
      </c>
      <c r="G18" s="1669">
        <v>0</v>
      </c>
      <c r="H18" s="135">
        <v>0</v>
      </c>
      <c r="I18" s="910">
        <f t="shared" si="1"/>
        <v>0</v>
      </c>
      <c r="J18" s="924" t="s">
        <v>136</v>
      </c>
    </row>
    <row r="19" spans="1:10" ht="42.75" customHeight="1">
      <c r="A19" s="130" t="s">
        <v>137</v>
      </c>
      <c r="B19" s="1572" t="s">
        <v>915</v>
      </c>
      <c r="C19" s="127" t="s">
        <v>147</v>
      </c>
      <c r="D19" s="127" t="s">
        <v>148</v>
      </c>
      <c r="E19" s="127" t="s">
        <v>145</v>
      </c>
      <c r="F19" s="128">
        <v>56213.57</v>
      </c>
      <c r="G19" s="128">
        <v>9902.28</v>
      </c>
      <c r="H19" s="128">
        <v>0</v>
      </c>
      <c r="I19" s="910">
        <f aca="true" t="shared" si="2" ref="I19:I34">G19/F19</f>
        <v>0.17615461889362302</v>
      </c>
      <c r="J19" s="925" t="s">
        <v>130</v>
      </c>
    </row>
    <row r="20" spans="1:10" ht="45">
      <c r="A20" s="126" t="s">
        <v>138</v>
      </c>
      <c r="B20" s="1575" t="s">
        <v>916</v>
      </c>
      <c r="C20" s="131" t="s">
        <v>147</v>
      </c>
      <c r="D20" s="131" t="s">
        <v>148</v>
      </c>
      <c r="E20" s="131" t="s">
        <v>145</v>
      </c>
      <c r="F20" s="132">
        <v>157500</v>
      </c>
      <c r="G20" s="133">
        <v>157500</v>
      </c>
      <c r="H20" s="133">
        <v>0</v>
      </c>
      <c r="I20" s="910">
        <f t="shared" si="2"/>
        <v>1</v>
      </c>
      <c r="J20" s="121" t="s">
        <v>139</v>
      </c>
    </row>
    <row r="21" spans="1:10" ht="56.25">
      <c r="A21" s="126" t="s">
        <v>140</v>
      </c>
      <c r="B21" s="1575" t="s">
        <v>917</v>
      </c>
      <c r="C21" s="131" t="s">
        <v>155</v>
      </c>
      <c r="D21" s="131" t="s">
        <v>159</v>
      </c>
      <c r="E21" s="131" t="s">
        <v>145</v>
      </c>
      <c r="F21" s="133">
        <v>34000</v>
      </c>
      <c r="G21" s="133">
        <v>15000</v>
      </c>
      <c r="H21" s="133">
        <v>0</v>
      </c>
      <c r="I21" s="910">
        <f t="shared" si="2"/>
        <v>0.4411764705882353</v>
      </c>
      <c r="J21" s="924" t="s">
        <v>130</v>
      </c>
    </row>
    <row r="22" spans="1:10" ht="33" customHeight="1">
      <c r="A22" s="130" t="s">
        <v>141</v>
      </c>
      <c r="B22" s="1575" t="s">
        <v>918</v>
      </c>
      <c r="C22" s="131" t="s">
        <v>162</v>
      </c>
      <c r="D22" s="131" t="s">
        <v>165</v>
      </c>
      <c r="E22" s="131" t="s">
        <v>127</v>
      </c>
      <c r="F22" s="133">
        <v>15000</v>
      </c>
      <c r="G22" s="133">
        <v>14993.7</v>
      </c>
      <c r="H22" s="133">
        <v>0</v>
      </c>
      <c r="I22" s="910">
        <f t="shared" si="2"/>
        <v>0.99958</v>
      </c>
      <c r="J22" s="121" t="s">
        <v>132</v>
      </c>
    </row>
    <row r="23" spans="1:10" ht="40.5" customHeight="1">
      <c r="A23" s="126" t="s">
        <v>142</v>
      </c>
      <c r="B23" s="1579" t="s">
        <v>919</v>
      </c>
      <c r="C23" s="136" t="s">
        <v>162</v>
      </c>
      <c r="D23" s="136" t="s">
        <v>165</v>
      </c>
      <c r="E23" s="136" t="s">
        <v>170</v>
      </c>
      <c r="F23" s="137">
        <v>2000</v>
      </c>
      <c r="G23" s="137">
        <v>2000</v>
      </c>
      <c r="H23" s="897">
        <v>0</v>
      </c>
      <c r="I23" s="912">
        <f t="shared" si="2"/>
        <v>1</v>
      </c>
      <c r="J23" s="923" t="s">
        <v>149</v>
      </c>
    </row>
    <row r="24" spans="1:10" ht="25.5">
      <c r="A24" s="130" t="s">
        <v>146</v>
      </c>
      <c r="B24" s="1578" t="s">
        <v>920</v>
      </c>
      <c r="C24" s="138" t="s">
        <v>162</v>
      </c>
      <c r="D24" s="138" t="s">
        <v>616</v>
      </c>
      <c r="E24" s="138" t="s">
        <v>145</v>
      </c>
      <c r="F24" s="132">
        <v>70000</v>
      </c>
      <c r="G24" s="1665">
        <v>70000</v>
      </c>
      <c r="H24" s="133">
        <v>0</v>
      </c>
      <c r="I24" s="912">
        <f t="shared" si="2"/>
        <v>1</v>
      </c>
      <c r="J24" s="121" t="s">
        <v>151</v>
      </c>
    </row>
    <row r="25" spans="1:11" ht="32.25" customHeight="1">
      <c r="A25" s="126" t="s">
        <v>150</v>
      </c>
      <c r="B25" s="1578" t="s">
        <v>176</v>
      </c>
      <c r="C25" s="138" t="s">
        <v>177</v>
      </c>
      <c r="D25" s="138" t="s">
        <v>178</v>
      </c>
      <c r="E25" s="138" t="s">
        <v>127</v>
      </c>
      <c r="F25" s="132">
        <v>590148.6</v>
      </c>
      <c r="G25" s="132">
        <v>586743.36</v>
      </c>
      <c r="H25" s="133">
        <v>0</v>
      </c>
      <c r="I25" s="912">
        <f t="shared" si="2"/>
        <v>0.9942298600725309</v>
      </c>
      <c r="J25" s="121" t="s">
        <v>153</v>
      </c>
      <c r="K25" s="150"/>
    </row>
    <row r="26" spans="1:10" ht="33" customHeight="1">
      <c r="A26" s="126" t="s">
        <v>152</v>
      </c>
      <c r="B26" s="1576" t="s">
        <v>921</v>
      </c>
      <c r="C26" s="145" t="s">
        <v>177</v>
      </c>
      <c r="D26" s="145" t="s">
        <v>178</v>
      </c>
      <c r="E26" s="145" t="s">
        <v>127</v>
      </c>
      <c r="F26" s="146">
        <v>10375</v>
      </c>
      <c r="G26" s="1666">
        <v>10375</v>
      </c>
      <c r="H26" s="898">
        <v>0</v>
      </c>
      <c r="I26" s="912">
        <f t="shared" si="2"/>
        <v>1</v>
      </c>
      <c r="J26" s="924" t="s">
        <v>157</v>
      </c>
    </row>
    <row r="27" spans="1:10" ht="27.75" customHeight="1">
      <c r="A27" s="126" t="s">
        <v>154</v>
      </c>
      <c r="B27" s="1576" t="s">
        <v>922</v>
      </c>
      <c r="C27" s="145" t="s">
        <v>177</v>
      </c>
      <c r="D27" s="145" t="s">
        <v>178</v>
      </c>
      <c r="E27" s="145" t="s">
        <v>127</v>
      </c>
      <c r="F27" s="146">
        <v>22915</v>
      </c>
      <c r="G27" s="1667">
        <v>21620.6</v>
      </c>
      <c r="H27" s="930">
        <v>0</v>
      </c>
      <c r="I27" s="912">
        <f t="shared" si="2"/>
        <v>0.9435129827623826</v>
      </c>
      <c r="J27" s="924" t="s">
        <v>130</v>
      </c>
    </row>
    <row r="28" spans="1:10" ht="35.25" customHeight="1">
      <c r="A28" s="126" t="s">
        <v>158</v>
      </c>
      <c r="B28" s="1577" t="s">
        <v>923</v>
      </c>
      <c r="C28" s="1456" t="s">
        <v>177</v>
      </c>
      <c r="D28" s="1456" t="s">
        <v>327</v>
      </c>
      <c r="E28" s="1456" t="s">
        <v>145</v>
      </c>
      <c r="F28" s="1457">
        <v>45510</v>
      </c>
      <c r="G28" s="1668">
        <v>45510</v>
      </c>
      <c r="H28" s="128">
        <v>0</v>
      </c>
      <c r="I28" s="913">
        <f t="shared" si="2"/>
        <v>1</v>
      </c>
      <c r="J28" s="121" t="s">
        <v>166</v>
      </c>
    </row>
    <row r="29" spans="1:10" ht="34.5" customHeight="1">
      <c r="A29" s="126" t="s">
        <v>160</v>
      </c>
      <c r="B29" s="1578" t="s">
        <v>924</v>
      </c>
      <c r="C29" s="138" t="s">
        <v>186</v>
      </c>
      <c r="D29" s="138" t="s">
        <v>187</v>
      </c>
      <c r="E29" s="138" t="s">
        <v>188</v>
      </c>
      <c r="F29" s="132">
        <v>60000</v>
      </c>
      <c r="G29" s="1665">
        <v>60000</v>
      </c>
      <c r="H29" s="133">
        <v>0</v>
      </c>
      <c r="I29" s="912">
        <f t="shared" si="2"/>
        <v>1</v>
      </c>
      <c r="J29" s="924" t="s">
        <v>130</v>
      </c>
    </row>
    <row r="30" spans="1:10" ht="39" customHeight="1">
      <c r="A30" s="126" t="s">
        <v>161</v>
      </c>
      <c r="B30" s="1580" t="s">
        <v>925</v>
      </c>
      <c r="C30" s="927" t="s">
        <v>195</v>
      </c>
      <c r="D30" s="927" t="s">
        <v>196</v>
      </c>
      <c r="E30" s="927" t="s">
        <v>127</v>
      </c>
      <c r="F30" s="899">
        <v>165000</v>
      </c>
      <c r="G30" s="899">
        <v>164999.99</v>
      </c>
      <c r="H30" s="928">
        <v>0</v>
      </c>
      <c r="I30" s="913">
        <f t="shared" si="2"/>
        <v>0.9999999393939394</v>
      </c>
      <c r="J30" s="129" t="s">
        <v>171</v>
      </c>
    </row>
    <row r="31" spans="1:10" ht="26.25" customHeight="1">
      <c r="A31" s="126" t="s">
        <v>163</v>
      </c>
      <c r="B31" s="1579" t="s">
        <v>203</v>
      </c>
      <c r="C31" s="136" t="s">
        <v>200</v>
      </c>
      <c r="D31" s="136" t="s">
        <v>201</v>
      </c>
      <c r="E31" s="136" t="s">
        <v>127</v>
      </c>
      <c r="F31" s="137">
        <v>45000</v>
      </c>
      <c r="G31" s="137">
        <v>45000</v>
      </c>
      <c r="H31" s="897">
        <v>0</v>
      </c>
      <c r="I31" s="913">
        <f t="shared" si="2"/>
        <v>1</v>
      </c>
      <c r="J31" s="121" t="s">
        <v>174</v>
      </c>
    </row>
    <row r="32" spans="1:10" ht="38.25" customHeight="1">
      <c r="A32" s="126" t="s">
        <v>164</v>
      </c>
      <c r="B32" s="1580" t="s">
        <v>926</v>
      </c>
      <c r="C32" s="927" t="s">
        <v>200</v>
      </c>
      <c r="D32" s="927" t="s">
        <v>201</v>
      </c>
      <c r="E32" s="927" t="s">
        <v>145</v>
      </c>
      <c r="F32" s="899">
        <v>61500</v>
      </c>
      <c r="G32" s="899">
        <v>61500</v>
      </c>
      <c r="H32" s="928">
        <v>0</v>
      </c>
      <c r="I32" s="913">
        <f t="shared" si="2"/>
        <v>1</v>
      </c>
      <c r="J32" s="925" t="s">
        <v>179</v>
      </c>
    </row>
    <row r="33" spans="1:10" ht="40.5" customHeight="1">
      <c r="A33" s="126" t="s">
        <v>167</v>
      </c>
      <c r="B33" s="1576" t="s">
        <v>199</v>
      </c>
      <c r="C33" s="145" t="s">
        <v>200</v>
      </c>
      <c r="D33" s="145" t="s">
        <v>201</v>
      </c>
      <c r="E33" s="145" t="s">
        <v>170</v>
      </c>
      <c r="F33" s="146">
        <v>45000</v>
      </c>
      <c r="G33" s="146">
        <v>43985.47</v>
      </c>
      <c r="H33" s="898">
        <v>0</v>
      </c>
      <c r="I33" s="913">
        <f t="shared" si="2"/>
        <v>0.9774548888888889</v>
      </c>
      <c r="J33" s="139" t="s">
        <v>181</v>
      </c>
    </row>
    <row r="34" spans="1:10" ht="40.5" customHeight="1">
      <c r="A34" s="126" t="s">
        <v>168</v>
      </c>
      <c r="B34" s="1579" t="s">
        <v>927</v>
      </c>
      <c r="C34" s="136" t="s">
        <v>200</v>
      </c>
      <c r="D34" s="136" t="s">
        <v>206</v>
      </c>
      <c r="E34" s="136" t="s">
        <v>170</v>
      </c>
      <c r="F34" s="137">
        <v>111000</v>
      </c>
      <c r="G34" s="137">
        <v>110142.67</v>
      </c>
      <c r="H34" s="897">
        <v>0</v>
      </c>
      <c r="I34" s="912">
        <f t="shared" si="2"/>
        <v>0.9922763063063063</v>
      </c>
      <c r="J34" s="121" t="s">
        <v>184</v>
      </c>
    </row>
    <row r="35" spans="1:10" ht="45">
      <c r="A35" s="126" t="s">
        <v>169</v>
      </c>
      <c r="B35" s="1581" t="s">
        <v>941</v>
      </c>
      <c r="C35" s="927" t="s">
        <v>200</v>
      </c>
      <c r="D35" s="927" t="s">
        <v>208</v>
      </c>
      <c r="E35" s="927" t="s">
        <v>127</v>
      </c>
      <c r="F35" s="899">
        <v>30000</v>
      </c>
      <c r="G35" s="928">
        <v>29999.7</v>
      </c>
      <c r="H35" s="898">
        <v>0</v>
      </c>
      <c r="I35" s="1458">
        <f aca="true" t="shared" si="3" ref="I35:I44">G35/F35</f>
        <v>0.99999</v>
      </c>
      <c r="J35" s="141" t="s">
        <v>189</v>
      </c>
    </row>
    <row r="36" spans="1:10" ht="56.25">
      <c r="A36" s="126" t="s">
        <v>172</v>
      </c>
      <c r="B36" s="1582" t="s">
        <v>929</v>
      </c>
      <c r="C36" s="143" t="s">
        <v>200</v>
      </c>
      <c r="D36" s="143" t="s">
        <v>208</v>
      </c>
      <c r="E36" s="143" t="s">
        <v>127</v>
      </c>
      <c r="F36" s="144">
        <v>50000</v>
      </c>
      <c r="G36" s="929">
        <v>37355</v>
      </c>
      <c r="H36" s="929">
        <v>0</v>
      </c>
      <c r="I36" s="912">
        <f t="shared" si="3"/>
        <v>0.7471</v>
      </c>
      <c r="J36" s="926" t="s">
        <v>193</v>
      </c>
    </row>
    <row r="37" spans="1:10" ht="45">
      <c r="A37" s="126" t="s">
        <v>175</v>
      </c>
      <c r="B37" s="1582" t="s">
        <v>930</v>
      </c>
      <c r="C37" s="145" t="s">
        <v>200</v>
      </c>
      <c r="D37" s="145" t="s">
        <v>208</v>
      </c>
      <c r="E37" s="145" t="s">
        <v>127</v>
      </c>
      <c r="F37" s="146">
        <v>10000</v>
      </c>
      <c r="G37" s="146">
        <v>8000</v>
      </c>
      <c r="H37" s="898">
        <v>0</v>
      </c>
      <c r="I37" s="912">
        <f t="shared" si="3"/>
        <v>0.8</v>
      </c>
      <c r="J37" s="139" t="s">
        <v>197</v>
      </c>
    </row>
    <row r="38" spans="1:10" ht="25.5">
      <c r="A38" s="126" t="s">
        <v>180</v>
      </c>
      <c r="B38" s="1582" t="s">
        <v>931</v>
      </c>
      <c r="C38" s="136" t="s">
        <v>200</v>
      </c>
      <c r="D38" s="136" t="s">
        <v>531</v>
      </c>
      <c r="E38" s="136" t="s">
        <v>170</v>
      </c>
      <c r="F38" s="137">
        <v>15000</v>
      </c>
      <c r="G38" s="137">
        <v>15000</v>
      </c>
      <c r="H38" s="897">
        <v>0</v>
      </c>
      <c r="I38" s="912">
        <f t="shared" si="3"/>
        <v>1</v>
      </c>
      <c r="J38" s="121" t="s">
        <v>151</v>
      </c>
    </row>
    <row r="39" spans="1:10" ht="45">
      <c r="A39" s="126" t="s">
        <v>182</v>
      </c>
      <c r="B39" s="1576" t="s">
        <v>932</v>
      </c>
      <c r="C39" s="927" t="s">
        <v>200</v>
      </c>
      <c r="D39" s="927" t="s">
        <v>531</v>
      </c>
      <c r="E39" s="927" t="s">
        <v>170</v>
      </c>
      <c r="F39" s="899">
        <v>30000</v>
      </c>
      <c r="G39" s="899">
        <v>30000</v>
      </c>
      <c r="H39" s="928">
        <v>0</v>
      </c>
      <c r="I39" s="912">
        <f t="shared" si="3"/>
        <v>1</v>
      </c>
      <c r="J39" s="129" t="s">
        <v>204</v>
      </c>
    </row>
    <row r="40" spans="1:10" ht="25.5">
      <c r="A40" s="124" t="s">
        <v>185</v>
      </c>
      <c r="B40" s="1582" t="s">
        <v>933</v>
      </c>
      <c r="C40" s="136" t="s">
        <v>213</v>
      </c>
      <c r="D40" s="136" t="s">
        <v>214</v>
      </c>
      <c r="E40" s="136" t="s">
        <v>127</v>
      </c>
      <c r="F40" s="137">
        <v>30000</v>
      </c>
      <c r="G40" s="137">
        <v>30000</v>
      </c>
      <c r="H40" s="897">
        <v>0</v>
      </c>
      <c r="I40" s="912">
        <f t="shared" si="3"/>
        <v>1</v>
      </c>
      <c r="J40" s="121" t="s">
        <v>151</v>
      </c>
    </row>
    <row r="41" spans="1:10" ht="34.5" customHeight="1">
      <c r="A41" s="126" t="s">
        <v>190</v>
      </c>
      <c r="B41" s="1581" t="s">
        <v>934</v>
      </c>
      <c r="C41" s="927" t="s">
        <v>213</v>
      </c>
      <c r="D41" s="927" t="s">
        <v>214</v>
      </c>
      <c r="E41" s="927" t="s">
        <v>127</v>
      </c>
      <c r="F41" s="899">
        <v>17608.77</v>
      </c>
      <c r="G41" s="899">
        <v>17608.77</v>
      </c>
      <c r="H41" s="928">
        <v>0</v>
      </c>
      <c r="I41" s="912">
        <f t="shared" si="3"/>
        <v>1</v>
      </c>
      <c r="J41" s="925" t="s">
        <v>209</v>
      </c>
    </row>
    <row r="42" spans="1:10" ht="30.75" customHeight="1">
      <c r="A42" s="126" t="s">
        <v>191</v>
      </c>
      <c r="B42" s="1579" t="s">
        <v>963</v>
      </c>
      <c r="C42" s="136" t="s">
        <v>213</v>
      </c>
      <c r="D42" s="136" t="s">
        <v>214</v>
      </c>
      <c r="E42" s="136" t="s">
        <v>127</v>
      </c>
      <c r="F42" s="137">
        <v>35000</v>
      </c>
      <c r="G42" s="137">
        <v>34813.83</v>
      </c>
      <c r="H42" s="897">
        <v>0</v>
      </c>
      <c r="I42" s="912">
        <f t="shared" si="3"/>
        <v>0.9946808571428571</v>
      </c>
      <c r="J42" s="121" t="s">
        <v>212</v>
      </c>
    </row>
    <row r="43" spans="1:10" ht="38.25" customHeight="1">
      <c r="A43" s="126" t="s">
        <v>194</v>
      </c>
      <c r="B43" s="1583" t="s">
        <v>935</v>
      </c>
      <c r="C43" s="136" t="s">
        <v>220</v>
      </c>
      <c r="D43" s="136" t="s">
        <v>221</v>
      </c>
      <c r="E43" s="136" t="s">
        <v>127</v>
      </c>
      <c r="F43" s="137">
        <v>55631.83</v>
      </c>
      <c r="G43" s="137">
        <v>55631.83</v>
      </c>
      <c r="H43" s="897">
        <v>0</v>
      </c>
      <c r="I43" s="912">
        <f t="shared" si="3"/>
        <v>1</v>
      </c>
      <c r="J43" s="924" t="s">
        <v>130</v>
      </c>
    </row>
    <row r="44" spans="1:10" ht="35.25" customHeight="1">
      <c r="A44" s="126" t="s">
        <v>198</v>
      </c>
      <c r="B44" s="1576" t="s">
        <v>942</v>
      </c>
      <c r="C44" s="145" t="s">
        <v>220</v>
      </c>
      <c r="D44" s="145" t="s">
        <v>221</v>
      </c>
      <c r="E44" s="145" t="s">
        <v>127</v>
      </c>
      <c r="F44" s="146">
        <v>46813</v>
      </c>
      <c r="G44" s="146">
        <v>31848</v>
      </c>
      <c r="H44" s="147">
        <v>0</v>
      </c>
      <c r="I44" s="1458">
        <f t="shared" si="3"/>
        <v>0.6803238416679127</v>
      </c>
      <c r="J44" s="141" t="s">
        <v>215</v>
      </c>
    </row>
    <row r="45" spans="1:10" ht="45" customHeight="1">
      <c r="A45" s="900" t="s">
        <v>202</v>
      </c>
      <c r="B45" s="1576" t="s">
        <v>936</v>
      </c>
      <c r="C45" s="1586" t="s">
        <v>220</v>
      </c>
      <c r="D45" s="1586" t="s">
        <v>221</v>
      </c>
      <c r="E45" s="1586" t="s">
        <v>127</v>
      </c>
      <c r="F45" s="1587">
        <v>10000</v>
      </c>
      <c r="G45" s="1587">
        <v>9999.86</v>
      </c>
      <c r="H45" s="1587">
        <v>0</v>
      </c>
      <c r="I45" s="1591">
        <f aca="true" t="shared" si="4" ref="I45:I51">G45/F45</f>
        <v>0.999986</v>
      </c>
      <c r="J45" s="148" t="s">
        <v>217</v>
      </c>
    </row>
    <row r="46" spans="1:10" ht="42.75" customHeight="1">
      <c r="A46" s="124" t="s">
        <v>205</v>
      </c>
      <c r="B46" s="1584" t="s">
        <v>937</v>
      </c>
      <c r="C46" s="142" t="s">
        <v>220</v>
      </c>
      <c r="D46" s="142" t="s">
        <v>221</v>
      </c>
      <c r="E46" s="142" t="s">
        <v>127</v>
      </c>
      <c r="F46" s="140">
        <v>26000</v>
      </c>
      <c r="G46" s="140">
        <v>25055.1</v>
      </c>
      <c r="H46" s="133">
        <v>0</v>
      </c>
      <c r="I46" s="911">
        <f t="shared" si="4"/>
        <v>0.9636576923076923</v>
      </c>
      <c r="J46" s="926" t="s">
        <v>222</v>
      </c>
    </row>
    <row r="47" spans="1:10" ht="21" customHeight="1">
      <c r="A47" s="1773" t="s">
        <v>207</v>
      </c>
      <c r="B47" s="1761" t="s">
        <v>938</v>
      </c>
      <c r="C47" s="1767" t="s">
        <v>220</v>
      </c>
      <c r="D47" s="1767" t="s">
        <v>221</v>
      </c>
      <c r="E47" s="1586" t="s">
        <v>224</v>
      </c>
      <c r="F47" s="1587">
        <v>93704</v>
      </c>
      <c r="G47" s="1587">
        <v>93704</v>
      </c>
      <c r="H47" s="1585">
        <v>0</v>
      </c>
      <c r="I47" s="908">
        <f t="shared" si="4"/>
        <v>1</v>
      </c>
      <c r="J47" s="149" t="s">
        <v>223</v>
      </c>
    </row>
    <row r="48" spans="1:10" ht="20.25" customHeight="1">
      <c r="A48" s="1774"/>
      <c r="B48" s="1762"/>
      <c r="C48" s="1768"/>
      <c r="D48" s="1768"/>
      <c r="E48" s="145" t="s">
        <v>219</v>
      </c>
      <c r="F48" s="1588">
        <v>273296</v>
      </c>
      <c r="G48" s="1588">
        <v>273296</v>
      </c>
      <c r="H48" s="1588">
        <v>0</v>
      </c>
      <c r="I48" s="1590">
        <f t="shared" si="4"/>
        <v>1</v>
      </c>
      <c r="J48" s="1589"/>
    </row>
    <row r="49" spans="1:10" ht="12.75">
      <c r="A49" s="1773" t="s">
        <v>210</v>
      </c>
      <c r="B49" s="1761" t="s">
        <v>939</v>
      </c>
      <c r="C49" s="1758" t="s">
        <v>220</v>
      </c>
      <c r="D49" s="1758" t="s">
        <v>221</v>
      </c>
      <c r="E49" s="145" t="s">
        <v>224</v>
      </c>
      <c r="F49" s="146">
        <v>61942</v>
      </c>
      <c r="G49" s="146">
        <v>61942</v>
      </c>
      <c r="H49" s="146">
        <v>0</v>
      </c>
      <c r="I49" s="1590">
        <f t="shared" si="4"/>
        <v>1</v>
      </c>
      <c r="J49" s="1589"/>
    </row>
    <row r="50" spans="1:10" ht="12.75">
      <c r="A50" s="1774"/>
      <c r="B50" s="1762"/>
      <c r="C50" s="1763"/>
      <c r="D50" s="1763"/>
      <c r="E50" s="145" t="s">
        <v>219</v>
      </c>
      <c r="F50" s="146">
        <v>71058</v>
      </c>
      <c r="G50" s="146">
        <v>70990.87</v>
      </c>
      <c r="H50" s="146">
        <v>0</v>
      </c>
      <c r="I50" s="1590">
        <f t="shared" si="4"/>
        <v>0.9990552787863435</v>
      </c>
      <c r="J50" s="1589"/>
    </row>
    <row r="51" spans="1:10" ht="15.75" customHeight="1">
      <c r="A51" s="1775" t="s">
        <v>928</v>
      </c>
      <c r="B51" s="1761" t="s">
        <v>940</v>
      </c>
      <c r="C51" s="1758" t="s">
        <v>220</v>
      </c>
      <c r="D51" s="1758" t="s">
        <v>221</v>
      </c>
      <c r="E51" s="145" t="s">
        <v>224</v>
      </c>
      <c r="F51" s="146">
        <v>112564</v>
      </c>
      <c r="G51" s="146">
        <v>112564</v>
      </c>
      <c r="H51" s="1592">
        <v>0</v>
      </c>
      <c r="I51" s="909">
        <f t="shared" si="4"/>
        <v>1</v>
      </c>
      <c r="J51" s="125"/>
    </row>
    <row r="52" spans="1:10" ht="20.25" customHeight="1" thickBot="1">
      <c r="A52" s="1776"/>
      <c r="B52" s="1777"/>
      <c r="C52" s="1759"/>
      <c r="D52" s="1759"/>
      <c r="E52" s="901" t="s">
        <v>219</v>
      </c>
      <c r="F52" s="902">
        <v>237436</v>
      </c>
      <c r="G52" s="902">
        <v>237432.03</v>
      </c>
      <c r="H52" s="903">
        <v>0</v>
      </c>
      <c r="I52" s="914">
        <f>G52/F52</f>
        <v>0.9999832797048468</v>
      </c>
      <c r="J52" s="904" t="s">
        <v>225</v>
      </c>
    </row>
    <row r="53" spans="1:11" ht="13.5" thickBot="1">
      <c r="A53" s="1769" t="s">
        <v>226</v>
      </c>
      <c r="B53" s="1770"/>
      <c r="C53" s="1770"/>
      <c r="D53" s="1770"/>
      <c r="E53" s="1770"/>
      <c r="F53" s="905">
        <f>SUM(F7:F52)</f>
        <v>6876007.529999999</v>
      </c>
      <c r="G53" s="905">
        <f>SUM(G7:G52)</f>
        <v>4054233.2400000007</v>
      </c>
      <c r="H53" s="905">
        <f>SUM(H7:H52)</f>
        <v>303244.76</v>
      </c>
      <c r="I53" s="915"/>
      <c r="J53" s="905"/>
      <c r="K53" s="150"/>
    </row>
    <row r="55" spans="2:10" ht="12.75">
      <c r="B55" s="151"/>
      <c r="F55" s="150"/>
      <c r="G55" s="150"/>
      <c r="H55" s="150"/>
      <c r="I55" s="150"/>
      <c r="J55" s="150"/>
    </row>
    <row r="56" spans="2:10" ht="12.75">
      <c r="B56" s="151"/>
      <c r="F56" s="150"/>
      <c r="G56" s="150"/>
      <c r="H56" s="150"/>
      <c r="I56" s="150"/>
      <c r="J56" s="150"/>
    </row>
    <row r="57" spans="2:10" ht="12.75">
      <c r="B57" s="151"/>
      <c r="F57" s="150"/>
      <c r="G57" s="150"/>
      <c r="H57" s="150"/>
      <c r="I57" s="150"/>
      <c r="J57" s="150"/>
    </row>
    <row r="58" spans="2:10" ht="12.75">
      <c r="B58" s="151"/>
      <c r="F58" s="150"/>
      <c r="G58" s="150"/>
      <c r="H58" s="150"/>
      <c r="I58" s="150"/>
      <c r="J58" s="150"/>
    </row>
    <row r="59" spans="2:10" ht="12.75">
      <c r="B59" s="152"/>
      <c r="F59" s="150"/>
      <c r="G59" s="150"/>
      <c r="H59" s="150"/>
      <c r="I59" s="150"/>
      <c r="J59" s="150"/>
    </row>
    <row r="60" spans="2:10" ht="12.75">
      <c r="B60" s="152"/>
      <c r="F60" s="150"/>
      <c r="G60" s="150"/>
      <c r="H60" s="150"/>
      <c r="I60" s="150"/>
      <c r="J60" s="150"/>
    </row>
    <row r="61" spans="6:10" ht="12.75">
      <c r="F61" s="150"/>
      <c r="G61" s="150"/>
      <c r="H61" s="150"/>
      <c r="I61" s="150"/>
      <c r="J61" s="150"/>
    </row>
    <row r="62" ht="12.75">
      <c r="J62" s="150"/>
    </row>
    <row r="63" ht="12.75">
      <c r="J63" s="150"/>
    </row>
  </sheetData>
  <sheetProtection selectLockedCells="1" selectUnlockedCells="1"/>
  <mergeCells count="25">
    <mergeCell ref="A53:E53"/>
    <mergeCell ref="B3:J3"/>
    <mergeCell ref="C6:E6"/>
    <mergeCell ref="D4:D5"/>
    <mergeCell ref="E4:E5"/>
    <mergeCell ref="A49:A50"/>
    <mergeCell ref="A51:A52"/>
    <mergeCell ref="B51:B52"/>
    <mergeCell ref="C51:C52"/>
    <mergeCell ref="A47:A48"/>
    <mergeCell ref="G1:J1"/>
    <mergeCell ref="I4:I5"/>
    <mergeCell ref="J4:J5"/>
    <mergeCell ref="F4:F5"/>
    <mergeCell ref="G4:G5"/>
    <mergeCell ref="B47:B48"/>
    <mergeCell ref="C47:C48"/>
    <mergeCell ref="D47:D48"/>
    <mergeCell ref="A4:A5"/>
    <mergeCell ref="D51:D52"/>
    <mergeCell ref="C4:C5"/>
    <mergeCell ref="B49:B50"/>
    <mergeCell ref="C49:C50"/>
    <mergeCell ref="D49:D50"/>
    <mergeCell ref="B4:B5"/>
  </mergeCells>
  <printOptions/>
  <pageMargins left="0.1968503937007874" right="0.1968503937007874" top="0.5905511811023623" bottom="0.35433070866141736" header="0.3937007874015748" footer="0.1968503937007874"/>
  <pageSetup firstPageNumber="1" useFirstPageNumber="1" fitToHeight="0" fitToWidth="1"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D83" sqref="D83"/>
    </sheetView>
  </sheetViews>
  <sheetFormatPr defaultColWidth="9.140625" defaultRowHeight="15"/>
  <cols>
    <col min="1" max="1" width="5.7109375" style="4" customWidth="1"/>
    <col min="2" max="2" width="8.57421875" style="4" customWidth="1"/>
    <col min="3" max="3" width="6.421875" style="4" customWidth="1"/>
    <col min="4" max="4" width="28.140625" style="4" customWidth="1"/>
    <col min="5" max="5" width="12.8515625" style="4" customWidth="1"/>
    <col min="6" max="6" width="13.421875" style="4" customWidth="1"/>
    <col min="7" max="7" width="10.28125" style="4" customWidth="1"/>
    <col min="8" max="8" width="13.140625" style="4" customWidth="1"/>
    <col min="9" max="9" width="13.28125" style="4" customWidth="1"/>
    <col min="10" max="10" width="10.7109375" style="4" customWidth="1"/>
    <col min="11" max="16384" width="9.140625" style="4" customWidth="1"/>
  </cols>
  <sheetData>
    <row r="1" spans="1:10" ht="12.75">
      <c r="A1" s="1"/>
      <c r="B1" s="1"/>
      <c r="C1" s="1"/>
      <c r="D1" s="1"/>
      <c r="E1" s="2"/>
      <c r="F1" s="2"/>
      <c r="G1" s="2"/>
      <c r="H1" s="846" t="s">
        <v>354</v>
      </c>
      <c r="I1" s="3"/>
      <c r="J1" s="3"/>
    </row>
    <row r="2" spans="1:10" ht="12.75">
      <c r="A2" s="1"/>
      <c r="B2" s="1"/>
      <c r="C2" s="1"/>
      <c r="D2" s="1"/>
      <c r="E2" s="5"/>
      <c r="F2" s="5"/>
      <c r="G2" s="5"/>
      <c r="H2" s="1809"/>
      <c r="I2" s="1809"/>
      <c r="J2" s="3"/>
    </row>
    <row r="3" spans="1:10" ht="37.5" customHeight="1">
      <c r="A3" s="1813" t="s">
        <v>885</v>
      </c>
      <c r="B3" s="1813"/>
      <c r="C3" s="1813"/>
      <c r="D3" s="1813"/>
      <c r="E3" s="1813"/>
      <c r="F3" s="1813"/>
      <c r="G3" s="1813"/>
      <c r="H3" s="1813"/>
      <c r="I3" s="1813"/>
      <c r="J3" s="1813"/>
    </row>
    <row r="4" spans="1:10" ht="21.75" customHeight="1" thickBot="1">
      <c r="A4" s="1810" t="s">
        <v>89</v>
      </c>
      <c r="B4" s="1810"/>
      <c r="C4" s="1810"/>
      <c r="D4" s="1810"/>
      <c r="E4" s="1810"/>
      <c r="F4" s="1810"/>
      <c r="G4" s="1810"/>
      <c r="H4" s="1810"/>
      <c r="I4" s="1"/>
      <c r="J4" s="1"/>
    </row>
    <row r="5" spans="1:10" ht="12.75" customHeight="1">
      <c r="A5" s="1811" t="s">
        <v>0</v>
      </c>
      <c r="B5" s="1811" t="s">
        <v>1</v>
      </c>
      <c r="C5" s="1811" t="s">
        <v>2</v>
      </c>
      <c r="D5" s="1784" t="s">
        <v>3</v>
      </c>
      <c r="E5" s="1786" t="s">
        <v>4</v>
      </c>
      <c r="F5" s="1787"/>
      <c r="G5" s="1788"/>
      <c r="H5" s="1786" t="s">
        <v>5</v>
      </c>
      <c r="I5" s="1787"/>
      <c r="J5" s="1789"/>
    </row>
    <row r="6" spans="1:10" ht="39" thickBot="1">
      <c r="A6" s="1812"/>
      <c r="B6" s="1812"/>
      <c r="C6" s="1812"/>
      <c r="D6" s="1785"/>
      <c r="E6" s="588" t="s">
        <v>901</v>
      </c>
      <c r="F6" s="6" t="s">
        <v>900</v>
      </c>
      <c r="G6" s="583" t="s">
        <v>85</v>
      </c>
      <c r="H6" s="588" t="s">
        <v>902</v>
      </c>
      <c r="I6" s="6" t="s">
        <v>900</v>
      </c>
      <c r="J6" s="689" t="s">
        <v>85</v>
      </c>
    </row>
    <row r="7" spans="1:10" ht="16.5" thickBot="1">
      <c r="A7" s="7" t="s">
        <v>7</v>
      </c>
      <c r="B7" s="8"/>
      <c r="C7" s="8"/>
      <c r="D7" s="679" t="s">
        <v>8</v>
      </c>
      <c r="E7" s="690">
        <f>E8</f>
        <v>983566.81</v>
      </c>
      <c r="F7" s="9">
        <f>F8</f>
        <v>983566.81</v>
      </c>
      <c r="G7" s="730">
        <f>F7/E7</f>
        <v>1</v>
      </c>
      <c r="H7" s="690">
        <f>H8</f>
        <v>983566.8099999999</v>
      </c>
      <c r="I7" s="9">
        <f>I8</f>
        <v>983566.8099999999</v>
      </c>
      <c r="J7" s="691">
        <f>I7/H7</f>
        <v>1</v>
      </c>
    </row>
    <row r="8" spans="1:10" ht="15.75">
      <c r="A8" s="10"/>
      <c r="B8" s="11" t="s">
        <v>9</v>
      </c>
      <c r="C8" s="12"/>
      <c r="D8" s="632" t="s">
        <v>10</v>
      </c>
      <c r="E8" s="692">
        <f>E9</f>
        <v>983566.81</v>
      </c>
      <c r="F8" s="687">
        <f>F9</f>
        <v>983566.81</v>
      </c>
      <c r="G8" s="731">
        <f>F8/E8</f>
        <v>1</v>
      </c>
      <c r="H8" s="692">
        <f>H10+H11+H12+H13+H14+H15</f>
        <v>983566.8099999999</v>
      </c>
      <c r="I8" s="692">
        <f>I10+I11+I12+I13+I14+I15</f>
        <v>983566.8099999999</v>
      </c>
      <c r="J8" s="693">
        <f>I8/H8</f>
        <v>1</v>
      </c>
    </row>
    <row r="9" spans="1:10" ht="60">
      <c r="A9" s="14"/>
      <c r="B9" s="10"/>
      <c r="C9" s="15">
        <v>2010</v>
      </c>
      <c r="D9" s="40" t="s">
        <v>11</v>
      </c>
      <c r="E9" s="694">
        <v>983566.81</v>
      </c>
      <c r="F9" s="566">
        <v>983566.81</v>
      </c>
      <c r="G9" s="732">
        <f>F9/E9</f>
        <v>1</v>
      </c>
      <c r="H9" s="694"/>
      <c r="I9" s="16"/>
      <c r="J9" s="695"/>
    </row>
    <row r="10" spans="1:10" ht="24">
      <c r="A10" s="14"/>
      <c r="B10" s="14"/>
      <c r="C10" s="15">
        <v>4010</v>
      </c>
      <c r="D10" s="40" t="s">
        <v>12</v>
      </c>
      <c r="E10" s="696"/>
      <c r="F10" s="17"/>
      <c r="G10" s="733"/>
      <c r="H10" s="748">
        <v>10347.1</v>
      </c>
      <c r="I10" s="18">
        <v>10347.1</v>
      </c>
      <c r="J10" s="697">
        <f aca="true" t="shared" si="0" ref="J10:J17">I10/H10</f>
        <v>1</v>
      </c>
    </row>
    <row r="11" spans="1:10" ht="15.75">
      <c r="A11" s="14"/>
      <c r="B11" s="14"/>
      <c r="C11" s="15">
        <v>4110</v>
      </c>
      <c r="D11" s="40" t="s">
        <v>13</v>
      </c>
      <c r="E11" s="696"/>
      <c r="F11" s="17"/>
      <c r="G11" s="733"/>
      <c r="H11" s="748">
        <v>1769.35</v>
      </c>
      <c r="I11" s="18">
        <v>1769.35</v>
      </c>
      <c r="J11" s="697">
        <f t="shared" si="0"/>
        <v>1</v>
      </c>
    </row>
    <row r="12" spans="1:10" ht="15.75">
      <c r="A12" s="14"/>
      <c r="B12" s="14"/>
      <c r="C12" s="15">
        <v>4120</v>
      </c>
      <c r="D12" s="40" t="s">
        <v>14</v>
      </c>
      <c r="E12" s="696"/>
      <c r="F12" s="17"/>
      <c r="G12" s="733"/>
      <c r="H12" s="748">
        <v>253.43</v>
      </c>
      <c r="I12" s="18">
        <v>253.43</v>
      </c>
      <c r="J12" s="697">
        <f t="shared" si="0"/>
        <v>1</v>
      </c>
    </row>
    <row r="13" spans="1:10" ht="15.75">
      <c r="A13" s="14"/>
      <c r="B13" s="20"/>
      <c r="C13" s="15">
        <v>4210</v>
      </c>
      <c r="D13" s="40" t="s">
        <v>15</v>
      </c>
      <c r="E13" s="696"/>
      <c r="F13" s="17"/>
      <c r="G13" s="733"/>
      <c r="H13" s="748">
        <v>3388.84</v>
      </c>
      <c r="I13" s="18">
        <v>3388.84</v>
      </c>
      <c r="J13" s="697">
        <f t="shared" si="0"/>
        <v>1</v>
      </c>
    </row>
    <row r="14" spans="1:10" ht="15.75">
      <c r="A14" s="14"/>
      <c r="B14" s="20"/>
      <c r="C14" s="15">
        <v>4300</v>
      </c>
      <c r="D14" s="40" t="s">
        <v>16</v>
      </c>
      <c r="E14" s="696"/>
      <c r="F14" s="17"/>
      <c r="G14" s="733"/>
      <c r="H14" s="748">
        <v>3526.9</v>
      </c>
      <c r="I14" s="18">
        <v>3526.9</v>
      </c>
      <c r="J14" s="697">
        <f t="shared" si="0"/>
        <v>1</v>
      </c>
    </row>
    <row r="15" spans="1:10" ht="15.75">
      <c r="A15" s="14"/>
      <c r="B15" s="20"/>
      <c r="C15" s="15">
        <v>4430</v>
      </c>
      <c r="D15" s="40" t="s">
        <v>17</v>
      </c>
      <c r="E15" s="694"/>
      <c r="F15" s="566"/>
      <c r="G15" s="732"/>
      <c r="H15" s="749">
        <v>964281.19</v>
      </c>
      <c r="I15" s="698">
        <v>964281.19</v>
      </c>
      <c r="J15" s="697">
        <f t="shared" si="0"/>
        <v>1</v>
      </c>
    </row>
    <row r="16" spans="1:10" ht="15.75">
      <c r="A16" s="21">
        <v>750</v>
      </c>
      <c r="B16" s="8"/>
      <c r="C16" s="8"/>
      <c r="D16" s="679" t="s">
        <v>18</v>
      </c>
      <c r="E16" s="690">
        <f>E17</f>
        <v>201053</v>
      </c>
      <c r="F16" s="9">
        <f>F17</f>
        <v>187341.86</v>
      </c>
      <c r="G16" s="730">
        <f>F16/E16</f>
        <v>0.9318033553341656</v>
      </c>
      <c r="H16" s="690">
        <f>H17</f>
        <v>201053</v>
      </c>
      <c r="I16" s="9">
        <f>I17</f>
        <v>187341.86</v>
      </c>
      <c r="J16" s="699">
        <f t="shared" si="0"/>
        <v>0.9318033553341656</v>
      </c>
    </row>
    <row r="17" spans="1:10" ht="15.75">
      <c r="A17" s="10"/>
      <c r="B17" s="22">
        <v>75011</v>
      </c>
      <c r="C17" s="12"/>
      <c r="D17" s="632" t="s">
        <v>19</v>
      </c>
      <c r="E17" s="692">
        <f>E18</f>
        <v>201053</v>
      </c>
      <c r="F17" s="687">
        <f>F18</f>
        <v>187341.86</v>
      </c>
      <c r="G17" s="731">
        <f>F17/E17</f>
        <v>0.9318033553341656</v>
      </c>
      <c r="H17" s="692">
        <f>H19+H20+H21+H22+H23+H24</f>
        <v>201053</v>
      </c>
      <c r="I17" s="692">
        <f>I19+I20+I21+I22+I23+I24</f>
        <v>187341.86</v>
      </c>
      <c r="J17" s="693">
        <f t="shared" si="0"/>
        <v>0.9318033553341656</v>
      </c>
    </row>
    <row r="18" spans="1:11" ht="60">
      <c r="A18" s="14"/>
      <c r="B18" s="10"/>
      <c r="C18" s="15">
        <v>2010</v>
      </c>
      <c r="D18" s="40" t="s">
        <v>11</v>
      </c>
      <c r="E18" s="694">
        <v>201053</v>
      </c>
      <c r="F18" s="566">
        <v>187341.86</v>
      </c>
      <c r="G18" s="732">
        <f>F18/E18</f>
        <v>0.9318033553341656</v>
      </c>
      <c r="H18" s="694"/>
      <c r="I18" s="16"/>
      <c r="J18" s="695"/>
      <c r="K18" s="970"/>
    </row>
    <row r="19" spans="1:11" ht="24">
      <c r="A19" s="14"/>
      <c r="B19" s="14"/>
      <c r="C19" s="15">
        <v>4010</v>
      </c>
      <c r="D19" s="40" t="s">
        <v>12</v>
      </c>
      <c r="E19" s="696"/>
      <c r="F19" s="17"/>
      <c r="G19" s="733"/>
      <c r="H19" s="694">
        <v>129577.54</v>
      </c>
      <c r="I19" s="19">
        <v>129577.54</v>
      </c>
      <c r="J19" s="697">
        <f aca="true" t="shared" si="1" ref="J19:J26">I19/H19</f>
        <v>1</v>
      </c>
      <c r="K19" s="970"/>
    </row>
    <row r="20" spans="1:11" ht="15.75">
      <c r="A20" s="14"/>
      <c r="B20" s="14"/>
      <c r="C20" s="15">
        <v>4110</v>
      </c>
      <c r="D20" s="40" t="s">
        <v>13</v>
      </c>
      <c r="E20" s="696"/>
      <c r="F20" s="17"/>
      <c r="G20" s="733"/>
      <c r="H20" s="694">
        <v>22157.84</v>
      </c>
      <c r="I20" s="19">
        <v>22157.84</v>
      </c>
      <c r="J20" s="697">
        <f t="shared" si="1"/>
        <v>1</v>
      </c>
      <c r="K20" s="970"/>
    </row>
    <row r="21" spans="1:11" ht="15.75">
      <c r="A21" s="14"/>
      <c r="B21" s="14"/>
      <c r="C21" s="15">
        <v>4120</v>
      </c>
      <c r="D21" s="40" t="s">
        <v>14</v>
      </c>
      <c r="E21" s="696"/>
      <c r="F21" s="17"/>
      <c r="G21" s="733"/>
      <c r="H21" s="694">
        <v>2725.62</v>
      </c>
      <c r="I21" s="19">
        <v>2725.62</v>
      </c>
      <c r="J21" s="697">
        <f t="shared" si="1"/>
        <v>1</v>
      </c>
      <c r="K21" s="970"/>
    </row>
    <row r="22" spans="1:11" ht="15.75">
      <c r="A22" s="14"/>
      <c r="B22" s="20"/>
      <c r="C22" s="15">
        <v>4210</v>
      </c>
      <c r="D22" s="40" t="s">
        <v>15</v>
      </c>
      <c r="E22" s="696"/>
      <c r="F22" s="17"/>
      <c r="G22" s="733"/>
      <c r="H22" s="694">
        <v>8000</v>
      </c>
      <c r="I22" s="19">
        <v>7986.3</v>
      </c>
      <c r="J22" s="697">
        <f t="shared" si="1"/>
        <v>0.9982875</v>
      </c>
      <c r="K22" s="970"/>
    </row>
    <row r="23" spans="1:11" ht="15.75">
      <c r="A23" s="14"/>
      <c r="B23" s="20"/>
      <c r="C23" s="15">
        <v>4270</v>
      </c>
      <c r="D23" s="40" t="s">
        <v>74</v>
      </c>
      <c r="E23" s="696"/>
      <c r="F23" s="17"/>
      <c r="G23" s="733"/>
      <c r="H23" s="694">
        <v>35642</v>
      </c>
      <c r="I23" s="19">
        <v>21950.56</v>
      </c>
      <c r="J23" s="697">
        <f t="shared" si="1"/>
        <v>0.6158621850625666</v>
      </c>
      <c r="K23" s="970"/>
    </row>
    <row r="24" spans="1:11" ht="24">
      <c r="A24" s="14"/>
      <c r="B24" s="20"/>
      <c r="C24" s="15">
        <v>4700</v>
      </c>
      <c r="D24" s="680" t="s">
        <v>23</v>
      </c>
      <c r="E24" s="694"/>
      <c r="F24" s="566"/>
      <c r="G24" s="732"/>
      <c r="H24" s="694">
        <v>2950</v>
      </c>
      <c r="I24" s="700">
        <v>2944</v>
      </c>
      <c r="J24" s="697">
        <f t="shared" si="1"/>
        <v>0.9979661016949153</v>
      </c>
      <c r="K24" s="970"/>
    </row>
    <row r="25" spans="1:10" ht="38.25">
      <c r="A25" s="21">
        <v>751</v>
      </c>
      <c r="B25" s="8"/>
      <c r="C25" s="8"/>
      <c r="D25" s="679" t="s">
        <v>25</v>
      </c>
      <c r="E25" s="690">
        <f>E26+E31+E41</f>
        <v>155932</v>
      </c>
      <c r="F25" s="690">
        <f>F26+F31+F41</f>
        <v>155932</v>
      </c>
      <c r="G25" s="730">
        <f>F25/E25</f>
        <v>1</v>
      </c>
      <c r="H25" s="690">
        <f>H26+H31+H41</f>
        <v>155932</v>
      </c>
      <c r="I25" s="690">
        <f>I26+I31+I41</f>
        <v>155932</v>
      </c>
      <c r="J25" s="699">
        <f t="shared" si="1"/>
        <v>1</v>
      </c>
    </row>
    <row r="26" spans="1:10" ht="38.25">
      <c r="A26" s="10"/>
      <c r="B26" s="22">
        <v>75101</v>
      </c>
      <c r="C26" s="12"/>
      <c r="D26" s="681" t="s">
        <v>25</v>
      </c>
      <c r="E26" s="692">
        <f>E27</f>
        <v>3517</v>
      </c>
      <c r="F26" s="687">
        <f>F27</f>
        <v>3517</v>
      </c>
      <c r="G26" s="731">
        <f>F26/E26</f>
        <v>1</v>
      </c>
      <c r="H26" s="692">
        <f>H28+H29+H30</f>
        <v>3517.0000000000005</v>
      </c>
      <c r="I26" s="687">
        <f>I28+I29+I30</f>
        <v>3517.0000000000005</v>
      </c>
      <c r="J26" s="693">
        <f t="shared" si="1"/>
        <v>1</v>
      </c>
    </row>
    <row r="27" spans="1:10" ht="60">
      <c r="A27" s="14"/>
      <c r="B27" s="10"/>
      <c r="C27" s="15">
        <v>2010</v>
      </c>
      <c r="D27" s="40" t="s">
        <v>11</v>
      </c>
      <c r="E27" s="701">
        <v>3517</v>
      </c>
      <c r="F27" s="702">
        <v>3517</v>
      </c>
      <c r="G27" s="734">
        <f>F27/E27</f>
        <v>1</v>
      </c>
      <c r="H27" s="751"/>
      <c r="I27" s="16"/>
      <c r="J27" s="695"/>
    </row>
    <row r="28" spans="1:10" ht="24">
      <c r="A28" s="14"/>
      <c r="B28" s="14"/>
      <c r="C28" s="15">
        <v>4010</v>
      </c>
      <c r="D28" s="40" t="s">
        <v>12</v>
      </c>
      <c r="E28" s="696"/>
      <c r="F28" s="17"/>
      <c r="G28" s="733"/>
      <c r="H28" s="750">
        <v>2972.01</v>
      </c>
      <c r="I28" s="19">
        <v>2972.01</v>
      </c>
      <c r="J28" s="697">
        <f>I28/H28</f>
        <v>1</v>
      </c>
    </row>
    <row r="29" spans="1:10" ht="15.75">
      <c r="A29" s="14"/>
      <c r="B29" s="14"/>
      <c r="C29" s="15">
        <v>4110</v>
      </c>
      <c r="D29" s="40" t="s">
        <v>13</v>
      </c>
      <c r="E29" s="696"/>
      <c r="F29" s="17"/>
      <c r="G29" s="733"/>
      <c r="H29" s="750">
        <v>508.21</v>
      </c>
      <c r="I29" s="19">
        <v>508.21</v>
      </c>
      <c r="J29" s="697">
        <f>I29/H29</f>
        <v>1</v>
      </c>
    </row>
    <row r="30" spans="1:10" ht="15.75">
      <c r="A30" s="14"/>
      <c r="B30" s="14"/>
      <c r="C30" s="24">
        <v>4120</v>
      </c>
      <c r="D30" s="42" t="s">
        <v>14</v>
      </c>
      <c r="E30" s="696"/>
      <c r="F30" s="17"/>
      <c r="G30" s="733"/>
      <c r="H30" s="752">
        <v>36.78</v>
      </c>
      <c r="I30" s="25">
        <v>36.78</v>
      </c>
      <c r="J30" s="697">
        <f>I30/H30</f>
        <v>1</v>
      </c>
    </row>
    <row r="31" spans="1:10" ht="15.75">
      <c r="A31" s="14"/>
      <c r="B31" s="26">
        <v>75108</v>
      </c>
      <c r="C31" s="27"/>
      <c r="D31" s="682" t="s">
        <v>874</v>
      </c>
      <c r="E31" s="703">
        <f>E32</f>
        <v>76450</v>
      </c>
      <c r="F31" s="28">
        <f>F32</f>
        <v>76450</v>
      </c>
      <c r="G31" s="735">
        <f>F31/E31</f>
        <v>1</v>
      </c>
      <c r="H31" s="703">
        <f>H36+H33+H34+H35+H37+H38+H39+H40</f>
        <v>76450.00000000001</v>
      </c>
      <c r="I31" s="28">
        <f>I36+I33+I34+I35+I37+I38+I39+I40</f>
        <v>76450.00000000001</v>
      </c>
      <c r="J31" s="704">
        <f>I31/H31</f>
        <v>1</v>
      </c>
    </row>
    <row r="32" spans="1:10" ht="60">
      <c r="A32" s="14"/>
      <c r="B32" s="10"/>
      <c r="C32" s="15">
        <v>2010</v>
      </c>
      <c r="D32" s="40" t="s">
        <v>11</v>
      </c>
      <c r="E32" s="701">
        <v>76450</v>
      </c>
      <c r="F32" s="702">
        <v>76450</v>
      </c>
      <c r="G32" s="734">
        <f>F32/E32</f>
        <v>1</v>
      </c>
      <c r="H32" s="751"/>
      <c r="I32" s="16"/>
      <c r="J32" s="695"/>
    </row>
    <row r="33" spans="1:10" ht="24">
      <c r="A33" s="14"/>
      <c r="B33" s="14"/>
      <c r="C33" s="15">
        <v>3030</v>
      </c>
      <c r="D33" s="40" t="s">
        <v>27</v>
      </c>
      <c r="E33" s="705"/>
      <c r="F33" s="29"/>
      <c r="G33" s="736"/>
      <c r="H33" s="753">
        <v>48150</v>
      </c>
      <c r="I33" s="19">
        <v>48150</v>
      </c>
      <c r="J33" s="697">
        <f>I33/H33</f>
        <v>1</v>
      </c>
    </row>
    <row r="34" spans="1:10" ht="15.75">
      <c r="A34" s="14"/>
      <c r="B34" s="14"/>
      <c r="C34" s="15">
        <v>4110</v>
      </c>
      <c r="D34" s="40" t="s">
        <v>13</v>
      </c>
      <c r="E34" s="705"/>
      <c r="F34" s="29"/>
      <c r="G34" s="736"/>
      <c r="H34" s="753">
        <v>2523.96</v>
      </c>
      <c r="I34" s="19">
        <v>2523.96</v>
      </c>
      <c r="J34" s="697">
        <f aca="true" t="shared" si="2" ref="J34:J40">I34/H34</f>
        <v>1</v>
      </c>
    </row>
    <row r="35" spans="1:10" ht="15.75">
      <c r="A35" s="14"/>
      <c r="B35" s="14"/>
      <c r="C35" s="15">
        <v>4120</v>
      </c>
      <c r="D35" s="680" t="s">
        <v>14</v>
      </c>
      <c r="E35" s="705"/>
      <c r="F35" s="29"/>
      <c r="G35" s="736"/>
      <c r="H35" s="753">
        <v>269.78</v>
      </c>
      <c r="I35" s="19">
        <v>269.78</v>
      </c>
      <c r="J35" s="697">
        <f t="shared" si="2"/>
        <v>1</v>
      </c>
    </row>
    <row r="36" spans="1:10" ht="15.75">
      <c r="A36" s="14"/>
      <c r="B36" s="14"/>
      <c r="C36" s="15">
        <v>4170</v>
      </c>
      <c r="D36" s="40" t="s">
        <v>28</v>
      </c>
      <c r="E36" s="696"/>
      <c r="F36" s="17"/>
      <c r="G36" s="733"/>
      <c r="H36" s="750">
        <v>18000</v>
      </c>
      <c r="I36" s="19">
        <v>18000</v>
      </c>
      <c r="J36" s="697">
        <f t="shared" si="2"/>
        <v>1</v>
      </c>
    </row>
    <row r="37" spans="1:10" ht="15.75">
      <c r="A37" s="14"/>
      <c r="B37" s="14"/>
      <c r="C37" s="15">
        <v>4210</v>
      </c>
      <c r="D37" s="40" t="s">
        <v>15</v>
      </c>
      <c r="E37" s="696"/>
      <c r="F37" s="17"/>
      <c r="G37" s="733"/>
      <c r="H37" s="753">
        <v>6459.88</v>
      </c>
      <c r="I37" s="19">
        <v>6459.88</v>
      </c>
      <c r="J37" s="697">
        <f t="shared" si="2"/>
        <v>1</v>
      </c>
    </row>
    <row r="38" spans="1:10" ht="15.75">
      <c r="A38" s="14"/>
      <c r="B38" s="14"/>
      <c r="C38" s="15">
        <v>4260</v>
      </c>
      <c r="D38" s="40" t="s">
        <v>29</v>
      </c>
      <c r="E38" s="696"/>
      <c r="F38" s="17"/>
      <c r="G38" s="733"/>
      <c r="H38" s="753">
        <v>55.77</v>
      </c>
      <c r="I38" s="19">
        <v>55.77</v>
      </c>
      <c r="J38" s="697">
        <f t="shared" si="2"/>
        <v>1</v>
      </c>
    </row>
    <row r="39" spans="1:10" ht="15.75">
      <c r="A39" s="14"/>
      <c r="B39" s="14"/>
      <c r="C39" s="15">
        <v>4300</v>
      </c>
      <c r="D39" s="40" t="s">
        <v>16</v>
      </c>
      <c r="E39" s="696"/>
      <c r="F39" s="17"/>
      <c r="G39" s="733"/>
      <c r="H39" s="753">
        <v>250</v>
      </c>
      <c r="I39" s="19">
        <v>250</v>
      </c>
      <c r="J39" s="697">
        <f t="shared" si="2"/>
        <v>1</v>
      </c>
    </row>
    <row r="40" spans="1:10" ht="15.75">
      <c r="A40" s="14"/>
      <c r="B40" s="14"/>
      <c r="C40" s="15">
        <v>4410</v>
      </c>
      <c r="D40" s="40" t="s">
        <v>22</v>
      </c>
      <c r="E40" s="696"/>
      <c r="F40" s="17"/>
      <c r="G40" s="733"/>
      <c r="H40" s="753">
        <v>740.61</v>
      </c>
      <c r="I40" s="19">
        <v>740.61</v>
      </c>
      <c r="J40" s="697">
        <f t="shared" si="2"/>
        <v>1</v>
      </c>
    </row>
    <row r="41" spans="1:10" ht="25.5">
      <c r="A41" s="14"/>
      <c r="B41" s="26">
        <v>75113</v>
      </c>
      <c r="C41" s="27"/>
      <c r="D41" s="1598" t="s">
        <v>851</v>
      </c>
      <c r="E41" s="1601">
        <f>E42</f>
        <v>75965</v>
      </c>
      <c r="F41" s="1601">
        <f>F42</f>
        <v>75965</v>
      </c>
      <c r="G41" s="1612">
        <f>F41/E41</f>
        <v>1</v>
      </c>
      <c r="H41" s="1601">
        <f>H43+H44+H45+H46+H47+H48+H49+H50</f>
        <v>75965</v>
      </c>
      <c r="I41" s="1601">
        <f>I43+I44+I45+I46+I47+I48+I49+I50</f>
        <v>75965</v>
      </c>
      <c r="J41" s="1612">
        <f>I41/H41</f>
        <v>1</v>
      </c>
    </row>
    <row r="42" spans="1:10" ht="60">
      <c r="A42" s="14"/>
      <c r="B42" s="14"/>
      <c r="C42" s="15">
        <v>2010</v>
      </c>
      <c r="D42" s="40" t="s">
        <v>11</v>
      </c>
      <c r="E42" s="33">
        <v>75965</v>
      </c>
      <c r="F42" s="33">
        <v>75965</v>
      </c>
      <c r="G42" s="1600">
        <f>F42/E42</f>
        <v>1</v>
      </c>
      <c r="H42" s="1599"/>
      <c r="I42" s="19"/>
      <c r="J42" s="697"/>
    </row>
    <row r="43" spans="1:10" ht="24">
      <c r="A43" s="14"/>
      <c r="B43" s="14"/>
      <c r="C43" s="15">
        <v>3030</v>
      </c>
      <c r="D43" s="40" t="s">
        <v>943</v>
      </c>
      <c r="E43" s="696"/>
      <c r="F43" s="17"/>
      <c r="G43" s="733"/>
      <c r="H43" s="753">
        <v>48850</v>
      </c>
      <c r="I43" s="19">
        <v>48850</v>
      </c>
      <c r="J43" s="697">
        <f>I43/H43</f>
        <v>1</v>
      </c>
    </row>
    <row r="44" spans="1:10" ht="15.75">
      <c r="A44" s="14"/>
      <c r="B44" s="14"/>
      <c r="C44" s="15">
        <v>4110</v>
      </c>
      <c r="D44" s="40" t="s">
        <v>13</v>
      </c>
      <c r="E44" s="696"/>
      <c r="F44" s="17"/>
      <c r="G44" s="733"/>
      <c r="H44" s="753">
        <v>2214.45</v>
      </c>
      <c r="I44" s="19">
        <v>2214.45</v>
      </c>
      <c r="J44" s="697">
        <f aca="true" t="shared" si="3" ref="J44:J50">I44/H44</f>
        <v>1</v>
      </c>
    </row>
    <row r="45" spans="1:10" ht="36">
      <c r="A45" s="14"/>
      <c r="B45" s="14"/>
      <c r="C45" s="15">
        <v>4120</v>
      </c>
      <c r="D45" s="680" t="s">
        <v>944</v>
      </c>
      <c r="E45" s="696"/>
      <c r="F45" s="17"/>
      <c r="G45" s="733"/>
      <c r="H45" s="753">
        <v>207.08</v>
      </c>
      <c r="I45" s="19">
        <v>207.08</v>
      </c>
      <c r="J45" s="697">
        <f t="shared" si="3"/>
        <v>1</v>
      </c>
    </row>
    <row r="46" spans="1:10" ht="15.75">
      <c r="A46" s="14"/>
      <c r="B46" s="14"/>
      <c r="C46" s="15">
        <v>4170</v>
      </c>
      <c r="D46" s="40" t="s">
        <v>28</v>
      </c>
      <c r="E46" s="696"/>
      <c r="F46" s="17"/>
      <c r="G46" s="733"/>
      <c r="H46" s="753">
        <v>16930</v>
      </c>
      <c r="I46" s="19">
        <v>16930</v>
      </c>
      <c r="J46" s="697">
        <f t="shared" si="3"/>
        <v>1</v>
      </c>
    </row>
    <row r="47" spans="1:10" ht="15.75">
      <c r="A47" s="14"/>
      <c r="B47" s="14"/>
      <c r="C47" s="15">
        <v>4210</v>
      </c>
      <c r="D47" s="40" t="s">
        <v>15</v>
      </c>
      <c r="E47" s="696"/>
      <c r="F47" s="17"/>
      <c r="G47" s="733"/>
      <c r="H47" s="753">
        <v>6445.82</v>
      </c>
      <c r="I47" s="19">
        <v>6445.82</v>
      </c>
      <c r="J47" s="697">
        <f t="shared" si="3"/>
        <v>1</v>
      </c>
    </row>
    <row r="48" spans="1:10" ht="15.75">
      <c r="A48" s="14"/>
      <c r="B48" s="14"/>
      <c r="C48" s="15">
        <v>4260</v>
      </c>
      <c r="D48" s="40" t="s">
        <v>29</v>
      </c>
      <c r="E48" s="696"/>
      <c r="F48" s="17"/>
      <c r="G48" s="733"/>
      <c r="H48" s="753">
        <v>31.3</v>
      </c>
      <c r="I48" s="19">
        <v>31.3</v>
      </c>
      <c r="J48" s="697">
        <f t="shared" si="3"/>
        <v>1</v>
      </c>
    </row>
    <row r="49" spans="1:10" ht="15.75">
      <c r="A49" s="1596"/>
      <c r="B49" s="14"/>
      <c r="C49" s="15">
        <v>4300</v>
      </c>
      <c r="D49" s="40" t="s">
        <v>16</v>
      </c>
      <c r="E49" s="696"/>
      <c r="F49" s="17"/>
      <c r="G49" s="733"/>
      <c r="H49" s="753">
        <v>925.09</v>
      </c>
      <c r="I49" s="19">
        <v>925.09</v>
      </c>
      <c r="J49" s="697">
        <f t="shared" si="3"/>
        <v>1</v>
      </c>
    </row>
    <row r="50" spans="1:10" ht="15.75">
      <c r="A50" s="1596"/>
      <c r="B50" s="14"/>
      <c r="C50" s="37">
        <v>4410</v>
      </c>
      <c r="D50" s="40" t="s">
        <v>22</v>
      </c>
      <c r="E50" s="696"/>
      <c r="F50" s="17"/>
      <c r="G50" s="733"/>
      <c r="H50" s="753">
        <v>361.26</v>
      </c>
      <c r="I50" s="19">
        <v>361.26</v>
      </c>
      <c r="J50" s="697">
        <f t="shared" si="3"/>
        <v>1</v>
      </c>
    </row>
    <row r="51" spans="1:10" ht="12.75">
      <c r="A51" s="23">
        <v>801</v>
      </c>
      <c r="B51" s="1597"/>
      <c r="C51" s="23"/>
      <c r="D51" s="683" t="s">
        <v>30</v>
      </c>
      <c r="E51" s="706">
        <f>E52</f>
        <v>146643.81</v>
      </c>
      <c r="F51" s="706">
        <f>F52</f>
        <v>144605.9</v>
      </c>
      <c r="G51" s="737">
        <f>F51/E51</f>
        <v>0.9861029933687621</v>
      </c>
      <c r="H51" s="754">
        <f>H52</f>
        <v>146643.81000000003</v>
      </c>
      <c r="I51" s="30">
        <f>I52</f>
        <v>144605.90000000002</v>
      </c>
      <c r="J51" s="707">
        <f>I51/H51</f>
        <v>0.9861029933687621</v>
      </c>
    </row>
    <row r="52" spans="1:10" ht="63.75">
      <c r="A52" s="14"/>
      <c r="B52" s="26">
        <v>80153</v>
      </c>
      <c r="C52" s="22"/>
      <c r="D52" s="632" t="s">
        <v>31</v>
      </c>
      <c r="E52" s="692">
        <f>E53</f>
        <v>146643.81</v>
      </c>
      <c r="F52" s="687">
        <f>F53</f>
        <v>144605.9</v>
      </c>
      <c r="G52" s="731">
        <f>F52/E52</f>
        <v>0.9861029933687621</v>
      </c>
      <c r="H52" s="692">
        <f>H54+H55</f>
        <v>146643.81000000003</v>
      </c>
      <c r="I52" s="692">
        <f>I54+I55</f>
        <v>144605.90000000002</v>
      </c>
      <c r="J52" s="693">
        <f>I52/H52</f>
        <v>0.9861029933687621</v>
      </c>
    </row>
    <row r="53" spans="1:10" ht="60">
      <c r="A53" s="14"/>
      <c r="B53" s="20"/>
      <c r="C53" s="15">
        <v>2010</v>
      </c>
      <c r="D53" s="40" t="s">
        <v>11</v>
      </c>
      <c r="E53" s="694">
        <v>146643.81</v>
      </c>
      <c r="F53" s="566">
        <v>144605.9</v>
      </c>
      <c r="G53" s="732">
        <f>F53/E53</f>
        <v>0.9861029933687621</v>
      </c>
      <c r="H53" s="750"/>
      <c r="I53" s="700"/>
      <c r="J53" s="708"/>
    </row>
    <row r="54" spans="1:10" ht="15.75">
      <c r="A54" s="14"/>
      <c r="B54" s="20"/>
      <c r="C54" s="15">
        <v>4210</v>
      </c>
      <c r="D54" s="40" t="s">
        <v>15</v>
      </c>
      <c r="E54" s="694"/>
      <c r="F54" s="566"/>
      <c r="G54" s="732"/>
      <c r="H54" s="755">
        <v>1451.89</v>
      </c>
      <c r="I54" s="700">
        <v>1451.89</v>
      </c>
      <c r="J54" s="708">
        <f>I54/H54</f>
        <v>1</v>
      </c>
    </row>
    <row r="55" spans="1:10" ht="24">
      <c r="A55" s="14"/>
      <c r="B55" s="20"/>
      <c r="C55" s="15">
        <v>4240</v>
      </c>
      <c r="D55" s="40" t="s">
        <v>32</v>
      </c>
      <c r="E55" s="696"/>
      <c r="F55" s="17"/>
      <c r="G55" s="733"/>
      <c r="H55" s="755">
        <v>145191.92</v>
      </c>
      <c r="I55" s="700">
        <v>143154.01</v>
      </c>
      <c r="J55" s="708">
        <f>I55/H55</f>
        <v>0.98596402609732</v>
      </c>
    </row>
    <row r="56" spans="1:10" ht="15.75">
      <c r="A56" s="21">
        <v>852</v>
      </c>
      <c r="B56" s="8"/>
      <c r="C56" s="31"/>
      <c r="D56" s="679" t="s">
        <v>33</v>
      </c>
      <c r="E56" s="690">
        <f>E57+E72+E76</f>
        <v>1222940.63</v>
      </c>
      <c r="F56" s="690">
        <f>F57+F72+F76</f>
        <v>1192209.04</v>
      </c>
      <c r="G56" s="730">
        <f>F56/E56</f>
        <v>0.974870742498759</v>
      </c>
      <c r="H56" s="690">
        <f>H57+H72+H76</f>
        <v>1222940.63</v>
      </c>
      <c r="I56" s="690">
        <f>I57+I72+I76</f>
        <v>1192209.04</v>
      </c>
      <c r="J56" s="699">
        <f>I56/H56</f>
        <v>0.974870742498759</v>
      </c>
    </row>
    <row r="57" spans="1:10" ht="15.75">
      <c r="A57" s="14"/>
      <c r="B57" s="26">
        <v>85203</v>
      </c>
      <c r="C57" s="22"/>
      <c r="D57" s="632" t="s">
        <v>34</v>
      </c>
      <c r="E57" s="692">
        <f>E58+E59</f>
        <v>700940.63</v>
      </c>
      <c r="F57" s="687">
        <f>F58+F59</f>
        <v>684926.89</v>
      </c>
      <c r="G57" s="731">
        <f>F57/E57</f>
        <v>0.9771539281436717</v>
      </c>
      <c r="H57" s="692">
        <f>H60+H61+H62+H63+H64+H65+H66+H67+H68+H69+H70+H71</f>
        <v>700940.63</v>
      </c>
      <c r="I57" s="692">
        <f>I60+I61+I62+I63+I64+I65+I66+I67+I68+I69+I70+I71</f>
        <v>684926.8899999999</v>
      </c>
      <c r="J57" s="693">
        <f>I57/H57</f>
        <v>0.9771539281436716</v>
      </c>
    </row>
    <row r="58" spans="1:10" ht="60">
      <c r="A58" s="14"/>
      <c r="B58" s="14"/>
      <c r="C58" s="15">
        <v>2010</v>
      </c>
      <c r="D58" s="40" t="s">
        <v>11</v>
      </c>
      <c r="E58" s="694">
        <v>535940.63</v>
      </c>
      <c r="F58" s="566">
        <v>519926.9</v>
      </c>
      <c r="G58" s="732">
        <f>F58/E58</f>
        <v>0.970120328440111</v>
      </c>
      <c r="H58" s="694"/>
      <c r="I58" s="32"/>
      <c r="J58" s="709"/>
    </row>
    <row r="59" spans="1:10" ht="60">
      <c r="A59" s="14"/>
      <c r="B59" s="14"/>
      <c r="C59" s="15">
        <v>6310</v>
      </c>
      <c r="D59" s="40" t="s">
        <v>35</v>
      </c>
      <c r="E59" s="710">
        <v>165000</v>
      </c>
      <c r="F59" s="34">
        <v>164999.99</v>
      </c>
      <c r="G59" s="738">
        <f>F59/E59</f>
        <v>0.9999999393939394</v>
      </c>
      <c r="H59" s="694"/>
      <c r="I59" s="32"/>
      <c r="J59" s="709"/>
    </row>
    <row r="60" spans="1:10" ht="24">
      <c r="A60" s="14"/>
      <c r="B60" s="14"/>
      <c r="C60" s="15">
        <v>4010</v>
      </c>
      <c r="D60" s="40" t="s">
        <v>12</v>
      </c>
      <c r="E60" s="696"/>
      <c r="F60" s="17"/>
      <c r="G60" s="733"/>
      <c r="H60" s="753">
        <v>239780</v>
      </c>
      <c r="I60" s="1637">
        <v>229478.13</v>
      </c>
      <c r="J60" s="697">
        <f>I60/H60</f>
        <v>0.9570361581449662</v>
      </c>
    </row>
    <row r="61" spans="1:10" ht="15.75">
      <c r="A61" s="14"/>
      <c r="B61" s="14"/>
      <c r="C61" s="15">
        <v>4110</v>
      </c>
      <c r="D61" s="40" t="s">
        <v>13</v>
      </c>
      <c r="E61" s="696"/>
      <c r="F61" s="17"/>
      <c r="G61" s="733"/>
      <c r="H61" s="753">
        <v>41411</v>
      </c>
      <c r="I61" s="1637">
        <v>38709.22</v>
      </c>
      <c r="J61" s="697">
        <f aca="true" t="shared" si="4" ref="J61:J71">I61/H61</f>
        <v>0.9347569486368357</v>
      </c>
    </row>
    <row r="62" spans="1:10" ht="15.75">
      <c r="A62" s="14"/>
      <c r="B62" s="14"/>
      <c r="C62" s="15">
        <v>4120</v>
      </c>
      <c r="D62" s="622" t="s">
        <v>14</v>
      </c>
      <c r="E62" s="696"/>
      <c r="F62" s="17"/>
      <c r="G62" s="733"/>
      <c r="H62" s="753">
        <v>3609</v>
      </c>
      <c r="I62" s="1637">
        <v>3086.55</v>
      </c>
      <c r="J62" s="697">
        <f t="shared" si="4"/>
        <v>0.8552369077306734</v>
      </c>
    </row>
    <row r="63" spans="1:10" ht="15.75">
      <c r="A63" s="14"/>
      <c r="B63" s="14"/>
      <c r="C63" s="15">
        <v>4170</v>
      </c>
      <c r="D63" s="40" t="s">
        <v>28</v>
      </c>
      <c r="E63" s="696"/>
      <c r="F63" s="17"/>
      <c r="G63" s="733"/>
      <c r="H63" s="753">
        <v>4329</v>
      </c>
      <c r="I63" s="1637">
        <v>4328.86</v>
      </c>
      <c r="J63" s="697">
        <f t="shared" si="4"/>
        <v>0.9999676599676599</v>
      </c>
    </row>
    <row r="64" spans="1:10" ht="15.75">
      <c r="A64" s="14"/>
      <c r="B64" s="14"/>
      <c r="C64" s="15">
        <v>4210</v>
      </c>
      <c r="D64" s="40" t="s">
        <v>15</v>
      </c>
      <c r="E64" s="696"/>
      <c r="F64" s="17"/>
      <c r="G64" s="733"/>
      <c r="H64" s="750">
        <v>53297</v>
      </c>
      <c r="I64" s="1637">
        <v>51353.92</v>
      </c>
      <c r="J64" s="697">
        <f t="shared" si="4"/>
        <v>0.9635424132690396</v>
      </c>
    </row>
    <row r="65" spans="1:10" ht="15.75">
      <c r="A65" s="14"/>
      <c r="B65" s="14"/>
      <c r="C65" s="15">
        <v>4260</v>
      </c>
      <c r="D65" s="40" t="s">
        <v>37</v>
      </c>
      <c r="E65" s="696"/>
      <c r="F65" s="17"/>
      <c r="G65" s="733"/>
      <c r="H65" s="753">
        <v>5633</v>
      </c>
      <c r="I65" s="1637">
        <v>5632.24</v>
      </c>
      <c r="J65" s="697">
        <f t="shared" si="4"/>
        <v>0.9998650807740103</v>
      </c>
    </row>
    <row r="66" spans="1:10" ht="15.75">
      <c r="A66" s="14"/>
      <c r="B66" s="14"/>
      <c r="C66" s="15">
        <v>4280</v>
      </c>
      <c r="D66" s="40" t="s">
        <v>38</v>
      </c>
      <c r="E66" s="696"/>
      <c r="F66" s="17"/>
      <c r="G66" s="733"/>
      <c r="H66" s="755">
        <v>195</v>
      </c>
      <c r="I66" s="1637">
        <v>195</v>
      </c>
      <c r="J66" s="697">
        <f t="shared" si="4"/>
        <v>1</v>
      </c>
    </row>
    <row r="67" spans="1:10" ht="15.75">
      <c r="A67" s="14"/>
      <c r="B67" s="14"/>
      <c r="C67" s="15">
        <v>4300</v>
      </c>
      <c r="D67" s="40" t="s">
        <v>16</v>
      </c>
      <c r="E67" s="696"/>
      <c r="F67" s="17"/>
      <c r="G67" s="733"/>
      <c r="H67" s="750">
        <v>179447.63</v>
      </c>
      <c r="I67" s="1637">
        <v>178905.89</v>
      </c>
      <c r="J67" s="697">
        <f t="shared" si="4"/>
        <v>0.9969810690729101</v>
      </c>
    </row>
    <row r="68" spans="1:10" ht="36">
      <c r="A68" s="14"/>
      <c r="B68" s="14"/>
      <c r="C68" s="15">
        <v>4360</v>
      </c>
      <c r="D68" s="40" t="s">
        <v>39</v>
      </c>
      <c r="E68" s="696"/>
      <c r="F68" s="17"/>
      <c r="G68" s="733"/>
      <c r="H68" s="750">
        <v>1950</v>
      </c>
      <c r="I68" s="1614">
        <v>1948.42</v>
      </c>
      <c r="J68" s="697">
        <f t="shared" si="4"/>
        <v>0.9991897435897437</v>
      </c>
    </row>
    <row r="69" spans="1:10" ht="15.75">
      <c r="A69" s="14"/>
      <c r="B69" s="14"/>
      <c r="C69" s="15">
        <v>4410</v>
      </c>
      <c r="D69" s="40" t="s">
        <v>22</v>
      </c>
      <c r="E69" s="696"/>
      <c r="F69" s="17"/>
      <c r="G69" s="733"/>
      <c r="H69" s="750">
        <v>360</v>
      </c>
      <c r="I69" s="19">
        <v>359.67</v>
      </c>
      <c r="J69" s="697">
        <f t="shared" si="4"/>
        <v>0.9990833333333333</v>
      </c>
    </row>
    <row r="70" spans="1:10" ht="24">
      <c r="A70" s="14"/>
      <c r="B70" s="14"/>
      <c r="C70" s="15">
        <v>4440</v>
      </c>
      <c r="D70" s="40" t="s">
        <v>40</v>
      </c>
      <c r="E70" s="696"/>
      <c r="F70" s="17"/>
      <c r="G70" s="733"/>
      <c r="H70" s="750">
        <v>5929</v>
      </c>
      <c r="I70" s="19">
        <v>5929</v>
      </c>
      <c r="J70" s="697">
        <f t="shared" si="4"/>
        <v>1</v>
      </c>
    </row>
    <row r="71" spans="1:10" ht="24">
      <c r="A71" s="14"/>
      <c r="B71" s="35"/>
      <c r="C71" s="15">
        <v>6050</v>
      </c>
      <c r="D71" s="40" t="s">
        <v>41</v>
      </c>
      <c r="E71" s="694"/>
      <c r="F71" s="566"/>
      <c r="G71" s="732"/>
      <c r="H71" s="750">
        <v>165000</v>
      </c>
      <c r="I71" s="19">
        <v>164999.99</v>
      </c>
      <c r="J71" s="697">
        <f t="shared" si="4"/>
        <v>0.9999999393939394</v>
      </c>
    </row>
    <row r="72" spans="1:10" ht="15.75">
      <c r="A72" s="14"/>
      <c r="B72" s="26">
        <v>85215</v>
      </c>
      <c r="C72" s="27"/>
      <c r="D72" s="621" t="s">
        <v>44</v>
      </c>
      <c r="E72" s="703">
        <f>E73</f>
        <v>19000</v>
      </c>
      <c r="F72" s="28">
        <f>F73</f>
        <v>12357.15</v>
      </c>
      <c r="G72" s="735">
        <f>F72/E72</f>
        <v>0.6503763157894736</v>
      </c>
      <c r="H72" s="703">
        <f>H74+H75</f>
        <v>19000</v>
      </c>
      <c r="I72" s="28">
        <f>I74+I75</f>
        <v>12357.15</v>
      </c>
      <c r="J72" s="704">
        <f>I72/H72</f>
        <v>0.6503763157894736</v>
      </c>
    </row>
    <row r="73" spans="1:10" ht="60">
      <c r="A73" s="14"/>
      <c r="B73" s="1781"/>
      <c r="C73" s="15">
        <v>2010</v>
      </c>
      <c r="D73" s="40" t="s">
        <v>11</v>
      </c>
      <c r="E73" s="33">
        <v>19000</v>
      </c>
      <c r="F73" s="33">
        <v>12357.15</v>
      </c>
      <c r="G73" s="1600">
        <f>F73/E73</f>
        <v>0.6503763157894736</v>
      </c>
      <c r="H73" s="566"/>
      <c r="I73" s="16"/>
      <c r="J73" s="695"/>
    </row>
    <row r="74" spans="1:10" ht="15.75">
      <c r="A74" s="14"/>
      <c r="B74" s="1782"/>
      <c r="C74" s="15">
        <v>3110</v>
      </c>
      <c r="D74" s="40" t="s">
        <v>45</v>
      </c>
      <c r="E74" s="696"/>
      <c r="F74" s="17"/>
      <c r="G74" s="733"/>
      <c r="H74" s="756">
        <v>18627.48</v>
      </c>
      <c r="I74" s="1638">
        <v>12114.9</v>
      </c>
      <c r="J74" s="713">
        <f>I74/H74</f>
        <v>0.6503778288850666</v>
      </c>
    </row>
    <row r="75" spans="1:10" ht="15.75">
      <c r="A75" s="14"/>
      <c r="B75" s="1783"/>
      <c r="C75" s="15">
        <v>4210</v>
      </c>
      <c r="D75" s="40" t="s">
        <v>15</v>
      </c>
      <c r="E75" s="694"/>
      <c r="F75" s="566"/>
      <c r="G75" s="732"/>
      <c r="H75" s="756">
        <v>372.52</v>
      </c>
      <c r="I75" s="1638">
        <v>242.25</v>
      </c>
      <c r="J75" s="713">
        <f>I75/H75</f>
        <v>0.6503006549983894</v>
      </c>
    </row>
    <row r="76" spans="1:10" ht="25.5">
      <c r="A76" s="14"/>
      <c r="B76" s="26">
        <v>85228</v>
      </c>
      <c r="C76" s="27"/>
      <c r="D76" s="621" t="s">
        <v>46</v>
      </c>
      <c r="E76" s="703">
        <f>E77</f>
        <v>503000</v>
      </c>
      <c r="F76" s="28">
        <f>F77</f>
        <v>494925</v>
      </c>
      <c r="G76" s="735">
        <f>F76/E76</f>
        <v>0.9839463220675945</v>
      </c>
      <c r="H76" s="703">
        <f>H78</f>
        <v>503000</v>
      </c>
      <c r="I76" s="28">
        <f>I78</f>
        <v>494925</v>
      </c>
      <c r="J76" s="704">
        <f>I76/H76</f>
        <v>0.9839463220675945</v>
      </c>
    </row>
    <row r="77" spans="1:10" ht="60">
      <c r="A77" s="14"/>
      <c r="B77" s="10"/>
      <c r="C77" s="15">
        <v>2010</v>
      </c>
      <c r="D77" s="40" t="s">
        <v>11</v>
      </c>
      <c r="E77" s="694">
        <v>503000</v>
      </c>
      <c r="F77" s="566">
        <v>494925</v>
      </c>
      <c r="G77" s="732">
        <f>F77/E77</f>
        <v>0.9839463220675945</v>
      </c>
      <c r="H77" s="694"/>
      <c r="I77" s="16"/>
      <c r="J77" s="695"/>
    </row>
    <row r="78" spans="1:10" ht="15.75">
      <c r="A78" s="35"/>
      <c r="B78" s="35"/>
      <c r="C78" s="15">
        <v>4300</v>
      </c>
      <c r="D78" s="40" t="s">
        <v>16</v>
      </c>
      <c r="E78" s="694"/>
      <c r="F78" s="566"/>
      <c r="G78" s="732"/>
      <c r="H78" s="607">
        <v>503000</v>
      </c>
      <c r="I78" s="1638">
        <v>494925</v>
      </c>
      <c r="J78" s="713">
        <f>I78/H78</f>
        <v>0.9839463220675945</v>
      </c>
    </row>
    <row r="79" spans="1:10" ht="15.75">
      <c r="A79" s="21">
        <v>855</v>
      </c>
      <c r="B79" s="8"/>
      <c r="C79" s="31"/>
      <c r="D79" s="679" t="s">
        <v>47</v>
      </c>
      <c r="E79" s="714">
        <f>E80+E96+E111+E116+E124</f>
        <v>26364312</v>
      </c>
      <c r="F79" s="714">
        <f>F80+F96+F111+F116+F124</f>
        <v>26302452.290000003</v>
      </c>
      <c r="G79" s="740">
        <f>F79/E79</f>
        <v>0.9976536573379955</v>
      </c>
      <c r="H79" s="714">
        <f>H80+H96+H111+H116+H124</f>
        <v>26364312</v>
      </c>
      <c r="I79" s="714">
        <f>I80+I96+I111+I116+I124</f>
        <v>26302452.29</v>
      </c>
      <c r="J79" s="715">
        <f>I79/H79</f>
        <v>0.9976536573379954</v>
      </c>
    </row>
    <row r="80" spans="1:10" ht="15.75">
      <c r="A80" s="1799"/>
      <c r="B80" s="22">
        <v>85501</v>
      </c>
      <c r="C80" s="12"/>
      <c r="D80" s="684" t="s">
        <v>48</v>
      </c>
      <c r="E80" s="692">
        <f>E81</f>
        <v>17582773</v>
      </c>
      <c r="F80" s="687">
        <f>F81</f>
        <v>17548332.26</v>
      </c>
      <c r="G80" s="731">
        <f>F80/E80</f>
        <v>0.9980412225079629</v>
      </c>
      <c r="H80" s="757">
        <f>SUM(H83:H95)</f>
        <v>17582773</v>
      </c>
      <c r="I80" s="688">
        <f>SUM(I83:I95)</f>
        <v>17548332.259999998</v>
      </c>
      <c r="J80" s="716">
        <f>I80/H80</f>
        <v>0.9980412225079627</v>
      </c>
    </row>
    <row r="81" spans="1:10" ht="96">
      <c r="A81" s="1800"/>
      <c r="B81" s="1796"/>
      <c r="C81" s="24">
        <v>2060</v>
      </c>
      <c r="D81" s="624" t="s">
        <v>49</v>
      </c>
      <c r="E81" s="717">
        <v>17582773</v>
      </c>
      <c r="F81" s="100">
        <v>17548332.26</v>
      </c>
      <c r="G81" s="741">
        <f>F81/E81</f>
        <v>0.9980412225079629</v>
      </c>
      <c r="H81" s="758"/>
      <c r="I81" s="80"/>
      <c r="J81" s="718"/>
    </row>
    <row r="82" spans="1:10" ht="12.75">
      <c r="A82" s="1800"/>
      <c r="B82" s="1797"/>
      <c r="C82" s="99"/>
      <c r="D82" s="40"/>
      <c r="E82" s="719"/>
      <c r="F82" s="720"/>
      <c r="G82" s="742"/>
      <c r="H82" s="723"/>
      <c r="I82" s="101"/>
      <c r="J82" s="722"/>
    </row>
    <row r="83" spans="1:10" ht="12.75">
      <c r="A83" s="1800"/>
      <c r="B83" s="1797"/>
      <c r="C83" s="15">
        <v>3110</v>
      </c>
      <c r="D83" s="40" t="s">
        <v>50</v>
      </c>
      <c r="E83" s="723"/>
      <c r="F83" s="721"/>
      <c r="G83" s="743"/>
      <c r="H83" s="719">
        <v>17346655.52</v>
      </c>
      <c r="I83" s="18">
        <v>17325144.9</v>
      </c>
      <c r="J83" s="697">
        <f>I83/H83</f>
        <v>0.9987599557750368</v>
      </c>
    </row>
    <row r="84" spans="1:10" ht="24">
      <c r="A84" s="1800"/>
      <c r="B84" s="1797"/>
      <c r="C84" s="15">
        <v>4010</v>
      </c>
      <c r="D84" s="40" t="s">
        <v>12</v>
      </c>
      <c r="E84" s="723"/>
      <c r="F84" s="721"/>
      <c r="G84" s="743"/>
      <c r="H84" s="719">
        <v>129000</v>
      </c>
      <c r="I84" s="19">
        <v>119881.82</v>
      </c>
      <c r="J84" s="697">
        <f aca="true" t="shared" si="5" ref="J84:J95">I84/H84</f>
        <v>0.9293164341085272</v>
      </c>
    </row>
    <row r="85" spans="1:10" ht="12.75">
      <c r="A85" s="1800"/>
      <c r="B85" s="1797"/>
      <c r="C85" s="15">
        <v>4040</v>
      </c>
      <c r="D85" s="40" t="s">
        <v>21</v>
      </c>
      <c r="E85" s="723"/>
      <c r="F85" s="721"/>
      <c r="G85" s="743"/>
      <c r="H85" s="719">
        <v>9666.53</v>
      </c>
      <c r="I85" s="19">
        <v>9666.53</v>
      </c>
      <c r="J85" s="697">
        <f t="shared" si="5"/>
        <v>1</v>
      </c>
    </row>
    <row r="86" spans="1:10" ht="12.75">
      <c r="A86" s="1800"/>
      <c r="B86" s="1797"/>
      <c r="C86" s="15">
        <v>4110</v>
      </c>
      <c r="D86" s="40" t="s">
        <v>13</v>
      </c>
      <c r="E86" s="723"/>
      <c r="F86" s="721"/>
      <c r="G86" s="743"/>
      <c r="H86" s="719">
        <v>23200</v>
      </c>
      <c r="I86" s="19">
        <v>22175.88</v>
      </c>
      <c r="J86" s="697">
        <f t="shared" si="5"/>
        <v>0.9558568965517242</v>
      </c>
    </row>
    <row r="87" spans="1:10" ht="12.75">
      <c r="A87" s="1800"/>
      <c r="B87" s="1797"/>
      <c r="C87" s="37">
        <v>4120</v>
      </c>
      <c r="D87" s="622" t="s">
        <v>14</v>
      </c>
      <c r="E87" s="723"/>
      <c r="F87" s="721"/>
      <c r="G87" s="743"/>
      <c r="H87" s="719">
        <v>3300</v>
      </c>
      <c r="I87" s="19">
        <v>2831.15</v>
      </c>
      <c r="J87" s="697">
        <f t="shared" si="5"/>
        <v>0.8579242424242425</v>
      </c>
    </row>
    <row r="88" spans="1:10" ht="12.75">
      <c r="A88" s="1800"/>
      <c r="B88" s="1797"/>
      <c r="C88" s="15">
        <v>4170</v>
      </c>
      <c r="D88" s="40" t="s">
        <v>28</v>
      </c>
      <c r="E88" s="723"/>
      <c r="F88" s="721"/>
      <c r="G88" s="743"/>
      <c r="H88" s="719">
        <v>7380.95</v>
      </c>
      <c r="I88" s="19">
        <v>7380.95</v>
      </c>
      <c r="J88" s="697">
        <f t="shared" si="5"/>
        <v>1</v>
      </c>
    </row>
    <row r="89" spans="1:10" ht="12.75">
      <c r="A89" s="1800"/>
      <c r="B89" s="1797"/>
      <c r="C89" s="15">
        <v>4210</v>
      </c>
      <c r="D89" s="40" t="s">
        <v>15</v>
      </c>
      <c r="E89" s="723"/>
      <c r="F89" s="721"/>
      <c r="G89" s="743"/>
      <c r="H89" s="719">
        <v>12000</v>
      </c>
      <c r="I89" s="19">
        <v>12000</v>
      </c>
      <c r="J89" s="697">
        <f t="shared" si="5"/>
        <v>1</v>
      </c>
    </row>
    <row r="90" spans="1:10" ht="12.75">
      <c r="A90" s="1800"/>
      <c r="B90" s="1797"/>
      <c r="C90" s="15">
        <v>4260</v>
      </c>
      <c r="D90" s="40" t="s">
        <v>37</v>
      </c>
      <c r="E90" s="723"/>
      <c r="F90" s="721"/>
      <c r="G90" s="743"/>
      <c r="H90" s="719">
        <v>4000</v>
      </c>
      <c r="I90" s="19">
        <v>3364.78</v>
      </c>
      <c r="J90" s="697">
        <f t="shared" si="5"/>
        <v>0.841195</v>
      </c>
    </row>
    <row r="91" spans="1:10" ht="12.75">
      <c r="A91" s="1800"/>
      <c r="B91" s="1797"/>
      <c r="C91" s="15">
        <v>4300</v>
      </c>
      <c r="D91" s="40" t="s">
        <v>16</v>
      </c>
      <c r="E91" s="723"/>
      <c r="F91" s="721"/>
      <c r="G91" s="743"/>
      <c r="H91" s="719">
        <v>40000</v>
      </c>
      <c r="I91" s="19">
        <v>40000</v>
      </c>
      <c r="J91" s="697">
        <f t="shared" si="5"/>
        <v>1</v>
      </c>
    </row>
    <row r="92" spans="1:10" ht="24">
      <c r="A92" s="1800"/>
      <c r="B92" s="1797"/>
      <c r="C92" s="15">
        <v>4390</v>
      </c>
      <c r="D92" s="40" t="s">
        <v>945</v>
      </c>
      <c r="E92" s="723"/>
      <c r="F92" s="721"/>
      <c r="G92" s="743"/>
      <c r="H92" s="719">
        <v>2000</v>
      </c>
      <c r="I92" s="19">
        <v>2000</v>
      </c>
      <c r="J92" s="697">
        <f t="shared" si="5"/>
        <v>1</v>
      </c>
    </row>
    <row r="93" spans="1:10" ht="12.75">
      <c r="A93" s="1800"/>
      <c r="B93" s="1797"/>
      <c r="C93" s="15">
        <v>4430</v>
      </c>
      <c r="D93" s="40" t="s">
        <v>17</v>
      </c>
      <c r="E93" s="723"/>
      <c r="F93" s="721"/>
      <c r="G93" s="743"/>
      <c r="H93" s="719">
        <v>200</v>
      </c>
      <c r="I93" s="19">
        <v>22.94</v>
      </c>
      <c r="J93" s="697">
        <f t="shared" si="5"/>
        <v>0.11470000000000001</v>
      </c>
    </row>
    <row r="94" spans="1:10" ht="24">
      <c r="A94" s="1800"/>
      <c r="B94" s="1797"/>
      <c r="C94" s="15">
        <v>4440</v>
      </c>
      <c r="D94" s="40" t="s">
        <v>40</v>
      </c>
      <c r="E94" s="723"/>
      <c r="F94" s="721"/>
      <c r="G94" s="743"/>
      <c r="H94" s="719">
        <v>2370</v>
      </c>
      <c r="I94" s="19">
        <v>2370</v>
      </c>
      <c r="J94" s="697">
        <f t="shared" si="5"/>
        <v>1</v>
      </c>
    </row>
    <row r="95" spans="1:10" ht="24">
      <c r="A95" s="1800"/>
      <c r="B95" s="1798"/>
      <c r="C95" s="38">
        <v>4700</v>
      </c>
      <c r="D95" s="680" t="s">
        <v>23</v>
      </c>
      <c r="E95" s="723"/>
      <c r="F95" s="721"/>
      <c r="G95" s="743"/>
      <c r="H95" s="719">
        <v>3000</v>
      </c>
      <c r="I95" s="19">
        <v>1493.31</v>
      </c>
      <c r="J95" s="697">
        <f t="shared" si="5"/>
        <v>0.49777</v>
      </c>
    </row>
    <row r="96" spans="1:10" ht="63.75">
      <c r="A96" s="1800"/>
      <c r="B96" s="22">
        <v>85502</v>
      </c>
      <c r="C96" s="12"/>
      <c r="D96" s="632" t="s">
        <v>51</v>
      </c>
      <c r="E96" s="724">
        <f>SUM(E97:E97)</f>
        <v>7924994</v>
      </c>
      <c r="F96" s="725">
        <f>SUM(F97:F97)</f>
        <v>7899774.7</v>
      </c>
      <c r="G96" s="744">
        <f>F96/E96</f>
        <v>0.9968177515339444</v>
      </c>
      <c r="H96" s="692">
        <f>SUM(H98:H110)</f>
        <v>7924994</v>
      </c>
      <c r="I96" s="687">
        <f>SUM(I98:I110)</f>
        <v>7899774.7</v>
      </c>
      <c r="J96" s="693">
        <f>I96/H96</f>
        <v>0.9968177515339444</v>
      </c>
    </row>
    <row r="97" spans="1:10" ht="60">
      <c r="A97" s="1800"/>
      <c r="B97" s="10"/>
      <c r="C97" s="15">
        <v>2010</v>
      </c>
      <c r="D97" s="40" t="s">
        <v>11</v>
      </c>
      <c r="E97" s="694">
        <v>7924994</v>
      </c>
      <c r="F97" s="566">
        <v>7899774.7</v>
      </c>
      <c r="G97" s="732">
        <f>F97/E97</f>
        <v>0.9968177515339444</v>
      </c>
      <c r="H97" s="694"/>
      <c r="I97" s="16"/>
      <c r="J97" s="695"/>
    </row>
    <row r="98" spans="1:10" ht="15.75">
      <c r="A98" s="1800"/>
      <c r="B98" s="14"/>
      <c r="C98" s="15">
        <v>3110</v>
      </c>
      <c r="D98" s="40" t="s">
        <v>50</v>
      </c>
      <c r="E98" s="696"/>
      <c r="F98" s="17"/>
      <c r="G98" s="733"/>
      <c r="H98" s="694">
        <v>7363099</v>
      </c>
      <c r="I98" s="39">
        <v>7342957.91</v>
      </c>
      <c r="J98" s="713">
        <f>I98/H98</f>
        <v>0.9972645906295705</v>
      </c>
    </row>
    <row r="99" spans="1:10" ht="24">
      <c r="A99" s="1800"/>
      <c r="B99" s="14"/>
      <c r="C99" s="15">
        <v>4010</v>
      </c>
      <c r="D99" s="40" t="s">
        <v>12</v>
      </c>
      <c r="E99" s="696"/>
      <c r="F99" s="17"/>
      <c r="G99" s="733"/>
      <c r="H99" s="694">
        <v>107000</v>
      </c>
      <c r="I99" s="1637">
        <v>105110.41</v>
      </c>
      <c r="J99" s="713">
        <f aca="true" t="shared" si="6" ref="J99:J111">I99/H99</f>
        <v>0.9823402803738318</v>
      </c>
    </row>
    <row r="100" spans="1:10" ht="15.75">
      <c r="A100" s="1800"/>
      <c r="B100" s="14"/>
      <c r="C100" s="15">
        <v>4040</v>
      </c>
      <c r="D100" s="40" t="s">
        <v>21</v>
      </c>
      <c r="E100" s="696"/>
      <c r="F100" s="17"/>
      <c r="G100" s="733"/>
      <c r="H100" s="694">
        <v>15100</v>
      </c>
      <c r="I100" s="19">
        <v>15055.01</v>
      </c>
      <c r="J100" s="713">
        <f t="shared" si="6"/>
        <v>0.9970205298013245</v>
      </c>
    </row>
    <row r="101" spans="1:10" ht="15.75">
      <c r="A101" s="1800"/>
      <c r="B101" s="14"/>
      <c r="C101" s="15">
        <v>4110</v>
      </c>
      <c r="D101" s="40" t="s">
        <v>13</v>
      </c>
      <c r="E101" s="696"/>
      <c r="F101" s="17"/>
      <c r="G101" s="733"/>
      <c r="H101" s="694">
        <v>360350</v>
      </c>
      <c r="I101" s="1637">
        <v>358893.2</v>
      </c>
      <c r="J101" s="713">
        <f t="shared" si="6"/>
        <v>0.9959572637713334</v>
      </c>
    </row>
    <row r="102" spans="1:10" ht="15.75">
      <c r="A102" s="1800"/>
      <c r="B102" s="14"/>
      <c r="C102" s="37">
        <v>4120</v>
      </c>
      <c r="D102" s="622" t="s">
        <v>14</v>
      </c>
      <c r="E102" s="696"/>
      <c r="F102" s="17"/>
      <c r="G102" s="733"/>
      <c r="H102" s="710">
        <v>2820</v>
      </c>
      <c r="I102" s="1637">
        <v>2340.39</v>
      </c>
      <c r="J102" s="713">
        <f t="shared" si="6"/>
        <v>0.8299255319148936</v>
      </c>
    </row>
    <row r="103" spans="1:10" ht="15.75">
      <c r="A103" s="1800"/>
      <c r="B103" s="14"/>
      <c r="C103" s="15">
        <v>4170</v>
      </c>
      <c r="D103" s="40" t="s">
        <v>28</v>
      </c>
      <c r="E103" s="696"/>
      <c r="F103" s="17"/>
      <c r="G103" s="733"/>
      <c r="H103" s="694">
        <v>8070</v>
      </c>
      <c r="I103" s="19">
        <v>8070</v>
      </c>
      <c r="J103" s="713">
        <f t="shared" si="6"/>
        <v>1</v>
      </c>
    </row>
    <row r="104" spans="1:10" ht="15.75">
      <c r="A104" s="1800"/>
      <c r="B104" s="14"/>
      <c r="C104" s="15">
        <v>4210</v>
      </c>
      <c r="D104" s="40" t="s">
        <v>15</v>
      </c>
      <c r="E104" s="696"/>
      <c r="F104" s="17"/>
      <c r="G104" s="733"/>
      <c r="H104" s="694">
        <v>12800</v>
      </c>
      <c r="I104" s="19">
        <v>12800</v>
      </c>
      <c r="J104" s="713">
        <f t="shared" si="6"/>
        <v>1</v>
      </c>
    </row>
    <row r="105" spans="1:10" ht="15.75">
      <c r="A105" s="1800"/>
      <c r="B105" s="14"/>
      <c r="C105" s="37">
        <v>4260</v>
      </c>
      <c r="D105" s="622" t="s">
        <v>37</v>
      </c>
      <c r="E105" s="696"/>
      <c r="F105" s="17"/>
      <c r="G105" s="733"/>
      <c r="H105" s="694">
        <v>4000</v>
      </c>
      <c r="I105" s="19">
        <v>3520.78</v>
      </c>
      <c r="J105" s="713">
        <f t="shared" si="6"/>
        <v>0.8801950000000001</v>
      </c>
    </row>
    <row r="106" spans="1:10" ht="15.75">
      <c r="A106" s="1800"/>
      <c r="B106" s="14"/>
      <c r="C106" s="15">
        <v>4300</v>
      </c>
      <c r="D106" s="40" t="s">
        <v>16</v>
      </c>
      <c r="E106" s="696"/>
      <c r="F106" s="17"/>
      <c r="G106" s="733"/>
      <c r="H106" s="694">
        <v>43000</v>
      </c>
      <c r="I106" s="19">
        <v>43000</v>
      </c>
      <c r="J106" s="713">
        <f t="shared" si="6"/>
        <v>1</v>
      </c>
    </row>
    <row r="107" spans="1:10" ht="24">
      <c r="A107" s="1800"/>
      <c r="B107" s="14"/>
      <c r="C107" s="15">
        <v>4360</v>
      </c>
      <c r="D107" s="40" t="s">
        <v>52</v>
      </c>
      <c r="E107" s="696"/>
      <c r="F107" s="17"/>
      <c r="G107" s="733"/>
      <c r="H107" s="694">
        <v>1000</v>
      </c>
      <c r="I107" s="19">
        <v>568.26</v>
      </c>
      <c r="J107" s="713">
        <f t="shared" si="6"/>
        <v>0.56826</v>
      </c>
    </row>
    <row r="108" spans="1:10" ht="15.75">
      <c r="A108" s="1800"/>
      <c r="B108" s="14"/>
      <c r="C108" s="15">
        <v>4430</v>
      </c>
      <c r="D108" s="40" t="s">
        <v>17</v>
      </c>
      <c r="E108" s="696"/>
      <c r="F108" s="17"/>
      <c r="G108" s="733"/>
      <c r="H108" s="694">
        <v>200</v>
      </c>
      <c r="I108" s="19">
        <v>18.95</v>
      </c>
      <c r="J108" s="713">
        <f t="shared" si="6"/>
        <v>0.09475</v>
      </c>
    </row>
    <row r="109" spans="1:10" ht="24">
      <c r="A109" s="1800"/>
      <c r="B109" s="14"/>
      <c r="C109" s="15">
        <v>4440</v>
      </c>
      <c r="D109" s="40" t="s">
        <v>40</v>
      </c>
      <c r="E109" s="696"/>
      <c r="F109" s="17"/>
      <c r="G109" s="733"/>
      <c r="H109" s="694">
        <v>4555</v>
      </c>
      <c r="I109" s="19">
        <v>4555</v>
      </c>
      <c r="J109" s="713">
        <f t="shared" si="6"/>
        <v>1</v>
      </c>
    </row>
    <row r="110" spans="1:10" ht="24">
      <c r="A110" s="14"/>
      <c r="B110" s="14"/>
      <c r="C110" s="41">
        <v>4700</v>
      </c>
      <c r="D110" s="42" t="s">
        <v>23</v>
      </c>
      <c r="E110" s="696"/>
      <c r="F110" s="17"/>
      <c r="G110" s="733"/>
      <c r="H110" s="696">
        <v>3000</v>
      </c>
      <c r="I110" s="25">
        <v>2884.79</v>
      </c>
      <c r="J110" s="713">
        <f t="shared" si="6"/>
        <v>0.9615966666666667</v>
      </c>
    </row>
    <row r="111" spans="1:10" ht="15.75">
      <c r="A111" s="14"/>
      <c r="B111" s="26">
        <v>85503</v>
      </c>
      <c r="C111" s="43"/>
      <c r="D111" s="617" t="s">
        <v>53</v>
      </c>
      <c r="E111" s="711">
        <f>E112</f>
        <v>1150</v>
      </c>
      <c r="F111" s="36">
        <f>F112</f>
        <v>1113.71</v>
      </c>
      <c r="G111" s="739">
        <f>F111/E111</f>
        <v>0.9684434782608696</v>
      </c>
      <c r="H111" s="711">
        <f>H113+H114+H115</f>
        <v>1150</v>
      </c>
      <c r="I111" s="36">
        <f>I113+I114+I115</f>
        <v>1113.71</v>
      </c>
      <c r="J111" s="726">
        <f t="shared" si="6"/>
        <v>0.9684434782608696</v>
      </c>
    </row>
    <row r="112" spans="1:10" ht="60">
      <c r="A112" s="14"/>
      <c r="B112" s="14"/>
      <c r="C112" s="37">
        <v>2010</v>
      </c>
      <c r="D112" s="622" t="s">
        <v>11</v>
      </c>
      <c r="E112" s="710">
        <v>1150</v>
      </c>
      <c r="F112" s="33">
        <v>1113.71</v>
      </c>
      <c r="G112" s="745">
        <f>F112/E112</f>
        <v>0.9684434782608696</v>
      </c>
      <c r="H112" s="710"/>
      <c r="I112" s="16"/>
      <c r="J112" s="713"/>
    </row>
    <row r="113" spans="1:10" ht="24">
      <c r="A113" s="14"/>
      <c r="B113" s="14"/>
      <c r="C113" s="15">
        <v>4010</v>
      </c>
      <c r="D113" s="40" t="s">
        <v>12</v>
      </c>
      <c r="E113" s="696"/>
      <c r="F113" s="17"/>
      <c r="G113" s="733"/>
      <c r="H113" s="748">
        <v>960.98</v>
      </c>
      <c r="I113" s="18">
        <v>930.65</v>
      </c>
      <c r="J113" s="697">
        <f>I113/H113</f>
        <v>0.9684384690628316</v>
      </c>
    </row>
    <row r="114" spans="1:10" ht="15.75">
      <c r="A114" s="14"/>
      <c r="B114" s="14"/>
      <c r="C114" s="15">
        <v>4110</v>
      </c>
      <c r="D114" s="40" t="s">
        <v>13</v>
      </c>
      <c r="E114" s="696"/>
      <c r="F114" s="17"/>
      <c r="G114" s="733"/>
      <c r="H114" s="748">
        <v>165.48</v>
      </c>
      <c r="I114" s="18">
        <v>160.25</v>
      </c>
      <c r="J114" s="697">
        <f>I114/H114</f>
        <v>0.9683949722020788</v>
      </c>
    </row>
    <row r="115" spans="1:10" ht="15.75">
      <c r="A115" s="14"/>
      <c r="B115" s="14"/>
      <c r="C115" s="37">
        <v>4120</v>
      </c>
      <c r="D115" s="622" t="s">
        <v>14</v>
      </c>
      <c r="E115" s="696"/>
      <c r="F115" s="17"/>
      <c r="G115" s="733"/>
      <c r="H115" s="759">
        <v>23.54</v>
      </c>
      <c r="I115" s="44">
        <v>22.81</v>
      </c>
      <c r="J115" s="697">
        <f>I115/H115</f>
        <v>0.9689889549702634</v>
      </c>
    </row>
    <row r="116" spans="1:10" ht="15.75">
      <c r="A116" s="14"/>
      <c r="B116" s="26">
        <v>85504</v>
      </c>
      <c r="C116" s="43"/>
      <c r="D116" s="617" t="s">
        <v>54</v>
      </c>
      <c r="E116" s="711">
        <f>E117</f>
        <v>779276</v>
      </c>
      <c r="F116" s="36">
        <f>F117</f>
        <v>778675.16</v>
      </c>
      <c r="G116" s="739">
        <f>F116/E116</f>
        <v>0.9992289766398555</v>
      </c>
      <c r="H116" s="711">
        <f>H118+H119+H120+H121+H122+H123</f>
        <v>779276</v>
      </c>
      <c r="I116" s="711">
        <f>I118+I119+I120+I121+I122+I123</f>
        <v>778675.1599999999</v>
      </c>
      <c r="J116" s="712">
        <f>I116/H116</f>
        <v>0.9992289766398553</v>
      </c>
    </row>
    <row r="117" spans="1:10" ht="60">
      <c r="A117" s="14"/>
      <c r="B117" s="14"/>
      <c r="C117" s="37">
        <v>2010</v>
      </c>
      <c r="D117" s="622" t="s">
        <v>11</v>
      </c>
      <c r="E117" s="710">
        <v>779276</v>
      </c>
      <c r="F117" s="33">
        <v>778675.16</v>
      </c>
      <c r="G117" s="745">
        <f>F117/E117</f>
        <v>0.9992289766398555</v>
      </c>
      <c r="H117" s="710"/>
      <c r="I117" s="16"/>
      <c r="J117" s="713"/>
    </row>
    <row r="118" spans="1:10" ht="15.75">
      <c r="A118" s="14"/>
      <c r="B118" s="14"/>
      <c r="C118" s="15">
        <v>3110</v>
      </c>
      <c r="D118" s="40" t="s">
        <v>50</v>
      </c>
      <c r="E118" s="696"/>
      <c r="F118" s="17"/>
      <c r="G118" s="733"/>
      <c r="H118" s="760">
        <v>754050</v>
      </c>
      <c r="I118" s="45">
        <v>753600</v>
      </c>
      <c r="J118" s="727">
        <f aca="true" t="shared" si="7" ref="J118:J123">I118/H118</f>
        <v>0.999403222597971</v>
      </c>
    </row>
    <row r="119" spans="1:10" ht="24">
      <c r="A119" s="14"/>
      <c r="B119" s="14"/>
      <c r="C119" s="15">
        <v>4010</v>
      </c>
      <c r="D119" s="40" t="s">
        <v>12</v>
      </c>
      <c r="E119" s="696"/>
      <c r="F119" s="17"/>
      <c r="G119" s="733"/>
      <c r="H119" s="748">
        <v>18800</v>
      </c>
      <c r="I119" s="1639">
        <v>18696.69</v>
      </c>
      <c r="J119" s="727">
        <f t="shared" si="7"/>
        <v>0.9945047872340425</v>
      </c>
    </row>
    <row r="120" spans="1:10" ht="15.75">
      <c r="A120" s="14"/>
      <c r="B120" s="14"/>
      <c r="C120" s="15">
        <v>4110</v>
      </c>
      <c r="D120" s="40" t="s">
        <v>13</v>
      </c>
      <c r="E120" s="696"/>
      <c r="F120" s="17"/>
      <c r="G120" s="733"/>
      <c r="H120" s="748">
        <v>3222</v>
      </c>
      <c r="I120" s="1639">
        <v>3219.62</v>
      </c>
      <c r="J120" s="727">
        <f t="shared" si="7"/>
        <v>0.9992613283674736</v>
      </c>
    </row>
    <row r="121" spans="1:10" ht="15.75">
      <c r="A121" s="14"/>
      <c r="B121" s="14"/>
      <c r="C121" s="37">
        <v>4120</v>
      </c>
      <c r="D121" s="622" t="s">
        <v>14</v>
      </c>
      <c r="E121" s="696"/>
      <c r="F121" s="17"/>
      <c r="G121" s="733"/>
      <c r="H121" s="748">
        <v>450.4</v>
      </c>
      <c r="I121" s="1639">
        <v>405.25</v>
      </c>
      <c r="J121" s="727">
        <f t="shared" si="7"/>
        <v>0.8997557726465365</v>
      </c>
    </row>
    <row r="122" spans="1:10" ht="15.75">
      <c r="A122" s="14"/>
      <c r="B122" s="14"/>
      <c r="C122" s="15">
        <v>4210</v>
      </c>
      <c r="D122" s="40" t="s">
        <v>15</v>
      </c>
      <c r="E122" s="696"/>
      <c r="F122" s="17"/>
      <c r="G122" s="733"/>
      <c r="H122" s="748">
        <v>1000</v>
      </c>
      <c r="I122" s="1639">
        <v>1000</v>
      </c>
      <c r="J122" s="727">
        <f t="shared" si="7"/>
        <v>1</v>
      </c>
    </row>
    <row r="123" spans="1:10" ht="15.75">
      <c r="A123" s="14"/>
      <c r="B123" s="14"/>
      <c r="C123" s="24">
        <v>4300</v>
      </c>
      <c r="D123" s="42" t="s">
        <v>16</v>
      </c>
      <c r="E123" s="696"/>
      <c r="F123" s="17"/>
      <c r="G123" s="733"/>
      <c r="H123" s="1602">
        <v>1753.6</v>
      </c>
      <c r="I123" s="1640">
        <v>1753.6</v>
      </c>
      <c r="J123" s="1603">
        <f t="shared" si="7"/>
        <v>1</v>
      </c>
    </row>
    <row r="124" spans="1:10" ht="153">
      <c r="A124" s="14"/>
      <c r="B124" s="26">
        <v>85513</v>
      </c>
      <c r="C124" s="26"/>
      <c r="D124" s="1604" t="s">
        <v>946</v>
      </c>
      <c r="E124" s="1605">
        <f>E125</f>
        <v>76119</v>
      </c>
      <c r="F124" s="1605">
        <f>F125</f>
        <v>74556.46</v>
      </c>
      <c r="G124" s="1613">
        <f>F124/E124</f>
        <v>0.9794724050499876</v>
      </c>
      <c r="H124" s="1605">
        <f>H126</f>
        <v>76119</v>
      </c>
      <c r="I124" s="1605">
        <f>I126</f>
        <v>74556.46</v>
      </c>
      <c r="J124" s="1613">
        <f>I124/H124</f>
        <v>0.9794724050499876</v>
      </c>
    </row>
    <row r="125" spans="1:10" ht="60">
      <c r="A125" s="14"/>
      <c r="B125" s="14"/>
      <c r="C125" s="24">
        <v>2010</v>
      </c>
      <c r="D125" s="622" t="s">
        <v>11</v>
      </c>
      <c r="E125" s="33">
        <v>76119</v>
      </c>
      <c r="F125" s="33">
        <v>74556.46</v>
      </c>
      <c r="G125" s="1600">
        <f>F125/E125</f>
        <v>0.9794724050499876</v>
      </c>
      <c r="H125" s="1606"/>
      <c r="I125" s="1607"/>
      <c r="J125" s="1608"/>
    </row>
    <row r="126" spans="1:10" ht="16.5" thickBot="1">
      <c r="A126" s="14"/>
      <c r="B126" s="14"/>
      <c r="C126" s="46">
        <v>4130</v>
      </c>
      <c r="D126" s="685" t="s">
        <v>947</v>
      </c>
      <c r="E126" s="728"/>
      <c r="F126" s="47"/>
      <c r="G126" s="746"/>
      <c r="H126" s="1609">
        <v>76119</v>
      </c>
      <c r="I126" s="1610">
        <v>74556.46</v>
      </c>
      <c r="J126" s="1611">
        <f>I126/H126</f>
        <v>0.9794724050499876</v>
      </c>
    </row>
    <row r="127" spans="1:10" ht="36.75" customHeight="1" thickBot="1">
      <c r="A127" s="48"/>
      <c r="B127" s="48"/>
      <c r="C127" s="49"/>
      <c r="D127" s="686" t="s">
        <v>55</v>
      </c>
      <c r="E127" s="729">
        <f>E7+E16+E25+E51+E56+E79</f>
        <v>29074448.25</v>
      </c>
      <c r="F127" s="729">
        <f>F7+F16+F25+F51+F56+F79</f>
        <v>28966107.900000002</v>
      </c>
      <c r="G127" s="747">
        <f>F127/E127</f>
        <v>0.9962736919693739</v>
      </c>
      <c r="H127" s="729">
        <f>H7+H16+H25+H51+H56+H79</f>
        <v>29074448.25</v>
      </c>
      <c r="I127" s="729">
        <f>I7+I16+I25+I51+I56+I79</f>
        <v>28966107.9</v>
      </c>
      <c r="J127" s="1641">
        <f>I127/H127</f>
        <v>0.9962736919693738</v>
      </c>
    </row>
    <row r="128" spans="1:10" ht="12.75">
      <c r="A128" s="102"/>
      <c r="B128" s="102"/>
      <c r="C128" s="102"/>
      <c r="D128" s="103"/>
      <c r="E128" s="104"/>
      <c r="F128" s="104"/>
      <c r="G128" s="105"/>
      <c r="H128" s="104"/>
      <c r="I128" s="104"/>
      <c r="J128" s="105"/>
    </row>
    <row r="129" spans="1:10" ht="20.25" customHeight="1" hidden="1" thickBot="1">
      <c r="A129" s="50" t="s">
        <v>88</v>
      </c>
      <c r="B129" s="1"/>
      <c r="C129" s="1"/>
      <c r="D129" s="1"/>
      <c r="E129" s="1"/>
      <c r="F129" s="1"/>
      <c r="G129" s="1"/>
      <c r="H129" s="1"/>
      <c r="I129" s="1"/>
      <c r="J129" s="51"/>
    </row>
    <row r="130" spans="1:10" ht="12.75" customHeight="1" hidden="1">
      <c r="A130" s="1803" t="s">
        <v>0</v>
      </c>
      <c r="B130" s="1803" t="s">
        <v>1</v>
      </c>
      <c r="C130" s="1803" t="s">
        <v>2</v>
      </c>
      <c r="D130" s="1805" t="s">
        <v>3</v>
      </c>
      <c r="E130" s="1792" t="s">
        <v>6</v>
      </c>
      <c r="F130" s="1794" t="s">
        <v>86</v>
      </c>
      <c r="G130" s="109" t="s">
        <v>92</v>
      </c>
      <c r="H130" s="1807" t="s">
        <v>85</v>
      </c>
      <c r="I130" s="1801" t="s">
        <v>94</v>
      </c>
      <c r="J130" s="1632" t="s">
        <v>95</v>
      </c>
    </row>
    <row r="131" spans="1:10" ht="30" customHeight="1" hidden="1">
      <c r="A131" s="1804"/>
      <c r="B131" s="1804"/>
      <c r="C131" s="1804"/>
      <c r="D131" s="1806"/>
      <c r="E131" s="1793"/>
      <c r="F131" s="1795"/>
      <c r="G131" s="106" t="s">
        <v>93</v>
      </c>
      <c r="H131" s="1808"/>
      <c r="I131" s="1802"/>
      <c r="J131" s="1630" t="s">
        <v>87</v>
      </c>
    </row>
    <row r="132" spans="1:10" ht="12.75" customHeight="1" hidden="1">
      <c r="A132" s="107">
        <v>750</v>
      </c>
      <c r="B132" s="107"/>
      <c r="C132" s="107"/>
      <c r="D132" s="786" t="s">
        <v>18</v>
      </c>
      <c r="E132" s="795">
        <f aca="true" t="shared" si="8" ref="E132:G133">E133</f>
        <v>0</v>
      </c>
      <c r="F132" s="761">
        <f t="shared" si="8"/>
        <v>0</v>
      </c>
      <c r="G132" s="664">
        <f t="shared" si="8"/>
        <v>17.05</v>
      </c>
      <c r="H132" s="665">
        <v>0</v>
      </c>
      <c r="I132" s="762">
        <f>I133</f>
        <v>323.95</v>
      </c>
      <c r="J132" s="1629">
        <f>J133</f>
        <v>0</v>
      </c>
    </row>
    <row r="133" spans="1:10" ht="12.75" customHeight="1" hidden="1">
      <c r="A133" s="52"/>
      <c r="B133" s="55">
        <v>75011</v>
      </c>
      <c r="C133" s="55"/>
      <c r="D133" s="787" t="s">
        <v>90</v>
      </c>
      <c r="E133" s="628">
        <f t="shared" si="8"/>
        <v>0</v>
      </c>
      <c r="F133" s="598">
        <f t="shared" si="8"/>
        <v>0</v>
      </c>
      <c r="G133" s="62">
        <f t="shared" si="8"/>
        <v>17.05</v>
      </c>
      <c r="H133" s="77">
        <v>0</v>
      </c>
      <c r="I133" s="763">
        <f>I134</f>
        <v>323.95</v>
      </c>
      <c r="J133" s="1628">
        <f>J134</f>
        <v>0</v>
      </c>
    </row>
    <row r="134" spans="1:10" ht="21.75" customHeight="1" hidden="1">
      <c r="A134" s="52"/>
      <c r="B134" s="676"/>
      <c r="C134" s="666" t="s">
        <v>91</v>
      </c>
      <c r="D134" s="788" t="s">
        <v>347</v>
      </c>
      <c r="E134" s="796">
        <v>0</v>
      </c>
      <c r="F134" s="764"/>
      <c r="G134" s="677">
        <v>17.05</v>
      </c>
      <c r="H134" s="678">
        <v>0</v>
      </c>
      <c r="I134" s="765">
        <v>323.95</v>
      </c>
      <c r="J134" s="1627">
        <v>0</v>
      </c>
    </row>
    <row r="135" spans="1:10" ht="12.75" customHeight="1" hidden="1">
      <c r="A135" s="107">
        <v>852</v>
      </c>
      <c r="B135" s="663"/>
      <c r="C135" s="663"/>
      <c r="D135" s="789" t="s">
        <v>33</v>
      </c>
      <c r="E135" s="795">
        <f>E136+E138</f>
        <v>2500</v>
      </c>
      <c r="F135" s="761">
        <f>F136+F138</f>
        <v>45870.53</v>
      </c>
      <c r="G135" s="664">
        <f>G136+G138</f>
        <v>2293.49</v>
      </c>
      <c r="H135" s="665">
        <f>F135/E135</f>
        <v>18.348212</v>
      </c>
      <c r="I135" s="766">
        <f>I136</f>
        <v>43577.04</v>
      </c>
      <c r="J135" s="1634">
        <f>J136+J138</f>
        <v>4030.13</v>
      </c>
    </row>
    <row r="136" spans="1:10" ht="25.5" customHeight="1" hidden="1">
      <c r="A136" s="52"/>
      <c r="B136" s="55">
        <v>85228</v>
      </c>
      <c r="C136" s="69"/>
      <c r="D136" s="790" t="s">
        <v>46</v>
      </c>
      <c r="E136" s="628">
        <f>E137</f>
        <v>2500</v>
      </c>
      <c r="F136" s="598">
        <f>F137</f>
        <v>45870.53</v>
      </c>
      <c r="G136" s="626">
        <f>G137</f>
        <v>2293.49</v>
      </c>
      <c r="H136" s="78">
        <f>F136/E136</f>
        <v>18.348212</v>
      </c>
      <c r="I136" s="767">
        <f>I137</f>
        <v>43577.04</v>
      </c>
      <c r="J136" s="1628">
        <f>J137</f>
        <v>3821.23</v>
      </c>
    </row>
    <row r="137" spans="1:10" ht="24.75" customHeight="1" hidden="1">
      <c r="A137" s="52"/>
      <c r="B137" s="666"/>
      <c r="C137" s="666" t="s">
        <v>56</v>
      </c>
      <c r="D137" s="788" t="s">
        <v>57</v>
      </c>
      <c r="E137" s="627">
        <v>2500</v>
      </c>
      <c r="F137" s="768">
        <v>45870.53</v>
      </c>
      <c r="G137" s="667">
        <v>2293.49</v>
      </c>
      <c r="H137" s="668">
        <f>F137/E137</f>
        <v>18.348212</v>
      </c>
      <c r="I137" s="769">
        <v>43577.04</v>
      </c>
      <c r="J137" s="1633">
        <v>3821.23</v>
      </c>
    </row>
    <row r="138" spans="1:10" ht="12.75" customHeight="1" hidden="1">
      <c r="A138" s="52"/>
      <c r="B138" s="661">
        <v>85203</v>
      </c>
      <c r="C138" s="661"/>
      <c r="D138" s="787" t="s">
        <v>34</v>
      </c>
      <c r="E138" s="628">
        <f>E139</f>
        <v>0</v>
      </c>
      <c r="F138" s="598">
        <f>F139</f>
        <v>0</v>
      </c>
      <c r="G138" s="62">
        <f>G139</f>
        <v>0</v>
      </c>
      <c r="H138" s="77">
        <v>0</v>
      </c>
      <c r="I138" s="770">
        <f>I139</f>
        <v>0</v>
      </c>
      <c r="J138" s="1628">
        <f>J139</f>
        <v>208.9</v>
      </c>
    </row>
    <row r="139" spans="1:10" ht="18" customHeight="1" hidden="1">
      <c r="A139" s="52"/>
      <c r="B139" s="666"/>
      <c r="C139" s="666" t="s">
        <v>56</v>
      </c>
      <c r="D139" s="788" t="s">
        <v>57</v>
      </c>
      <c r="E139" s="627">
        <v>0</v>
      </c>
      <c r="F139" s="771">
        <v>0</v>
      </c>
      <c r="G139" s="669"/>
      <c r="H139" s="670">
        <v>0</v>
      </c>
      <c r="I139" s="772">
        <v>0</v>
      </c>
      <c r="J139" s="1627">
        <v>208.9</v>
      </c>
    </row>
    <row r="140" spans="1:10" ht="12.75" customHeight="1" hidden="1">
      <c r="A140" s="107">
        <v>855</v>
      </c>
      <c r="B140" s="663"/>
      <c r="C140" s="663"/>
      <c r="D140" s="789" t="s">
        <v>47</v>
      </c>
      <c r="E140" s="795">
        <f>E141</f>
        <v>155000</v>
      </c>
      <c r="F140" s="761">
        <f>F141</f>
        <v>395525.02</v>
      </c>
      <c r="G140" s="664">
        <f>G141</f>
        <v>94672.72</v>
      </c>
      <c r="H140" s="665">
        <f>F140/E140</f>
        <v>2.5517743225806453</v>
      </c>
      <c r="I140" s="766">
        <f>I141</f>
        <v>300852.3</v>
      </c>
      <c r="J140" s="1634">
        <f>J141</f>
        <v>10645532.01</v>
      </c>
    </row>
    <row r="141" spans="1:10" ht="63.75" customHeight="1" hidden="1">
      <c r="A141" s="671"/>
      <c r="B141" s="56">
        <v>85502</v>
      </c>
      <c r="C141" s="56"/>
      <c r="D141" s="791" t="s">
        <v>51</v>
      </c>
      <c r="E141" s="797">
        <f>SUM(E142:E145)</f>
        <v>155000</v>
      </c>
      <c r="F141" s="773">
        <f>SUM(F142:F145)</f>
        <v>395525.02</v>
      </c>
      <c r="G141" s="774">
        <f>SUM(G142:G145)</f>
        <v>94672.72</v>
      </c>
      <c r="H141" s="775">
        <f>F141/E141</f>
        <v>2.5517743225806453</v>
      </c>
      <c r="I141" s="776">
        <f>I142+I143+I144+I145</f>
        <v>300852.3</v>
      </c>
      <c r="J141" s="1628">
        <f>J142+J143+J144+J145</f>
        <v>10645532.01</v>
      </c>
    </row>
    <row r="142" spans="1:10" ht="42.75" customHeight="1" hidden="1">
      <c r="A142" s="672"/>
      <c r="B142" s="1778"/>
      <c r="C142" s="673" t="s">
        <v>97</v>
      </c>
      <c r="D142" s="792" t="s">
        <v>98</v>
      </c>
      <c r="E142" s="798">
        <v>0</v>
      </c>
      <c r="F142" s="777">
        <v>52.4</v>
      </c>
      <c r="G142" s="778">
        <v>0</v>
      </c>
      <c r="H142" s="779">
        <v>0</v>
      </c>
      <c r="I142" s="780">
        <v>52.4</v>
      </c>
      <c r="J142" s="1631">
        <v>0</v>
      </c>
    </row>
    <row r="143" spans="1:10" ht="12.75" customHeight="1" hidden="1">
      <c r="A143" s="672"/>
      <c r="B143" s="1779"/>
      <c r="C143" s="674" t="s">
        <v>58</v>
      </c>
      <c r="D143" s="793" t="s">
        <v>59</v>
      </c>
      <c r="E143" s="799">
        <v>93000</v>
      </c>
      <c r="F143" s="777">
        <v>161749.81</v>
      </c>
      <c r="G143" s="778">
        <v>0</v>
      </c>
      <c r="H143" s="779">
        <f>F143/E143</f>
        <v>1.7392452688172042</v>
      </c>
      <c r="I143" s="781">
        <v>161749.81</v>
      </c>
      <c r="J143" s="1626">
        <v>2485029.02</v>
      </c>
    </row>
    <row r="144" spans="1:10" ht="12.75" customHeight="1" hidden="1">
      <c r="A144" s="672"/>
      <c r="B144" s="1779"/>
      <c r="C144" s="674" t="s">
        <v>60</v>
      </c>
      <c r="D144" s="793" t="s">
        <v>61</v>
      </c>
      <c r="E144" s="799">
        <v>3500</v>
      </c>
      <c r="F144" s="777">
        <v>11835.22</v>
      </c>
      <c r="G144" s="778">
        <v>5917.64</v>
      </c>
      <c r="H144" s="779">
        <f>F144/E144</f>
        <v>3.3814914285714286</v>
      </c>
      <c r="I144" s="781">
        <v>5917.58</v>
      </c>
      <c r="J144" s="1626">
        <v>976060</v>
      </c>
    </row>
    <row r="145" spans="1:10" ht="42" customHeight="1" hidden="1" thickBot="1">
      <c r="A145" s="108"/>
      <c r="B145" s="1780"/>
      <c r="C145" s="675" t="s">
        <v>62</v>
      </c>
      <c r="D145" s="794" t="s">
        <v>63</v>
      </c>
      <c r="E145" s="629">
        <v>58500</v>
      </c>
      <c r="F145" s="782">
        <v>221887.59</v>
      </c>
      <c r="G145" s="778">
        <v>88755.08</v>
      </c>
      <c r="H145" s="779">
        <f>F145/E145</f>
        <v>3.7929502564102564</v>
      </c>
      <c r="I145" s="783">
        <v>133132.51</v>
      </c>
      <c r="J145" s="1635">
        <v>7184442.99</v>
      </c>
    </row>
    <row r="146" spans="1:10" ht="24" customHeight="1" hidden="1" thickBot="1">
      <c r="A146" s="1790" t="s">
        <v>64</v>
      </c>
      <c r="B146" s="1791"/>
      <c r="C146" s="1791"/>
      <c r="D146" s="1791"/>
      <c r="E146" s="800">
        <f>E135+E140</f>
        <v>157500</v>
      </c>
      <c r="F146" s="784">
        <f>F135+F140</f>
        <v>441395.55000000005</v>
      </c>
      <c r="G146" s="53">
        <f>G135+G140+G132</f>
        <v>96983.26000000001</v>
      </c>
      <c r="H146" s="97">
        <f>F146/E146</f>
        <v>2.802511428571429</v>
      </c>
      <c r="I146" s="785">
        <f>I132+I135+I140</f>
        <v>344753.29</v>
      </c>
      <c r="J146" s="1636">
        <f>J132+J135+J140</f>
        <v>10649562.14</v>
      </c>
    </row>
    <row r="147" ht="11.25">
      <c r="G147" s="98"/>
    </row>
  </sheetData>
  <sheetProtection/>
  <mergeCells count="22">
    <mergeCell ref="H2:I2"/>
    <mergeCell ref="A4:H4"/>
    <mergeCell ref="A5:A6"/>
    <mergeCell ref="B5:B6"/>
    <mergeCell ref="C5:C6"/>
    <mergeCell ref="A3:J3"/>
    <mergeCell ref="I130:I131"/>
    <mergeCell ref="C130:C131"/>
    <mergeCell ref="D130:D131"/>
    <mergeCell ref="B130:B131"/>
    <mergeCell ref="A130:A131"/>
    <mergeCell ref="H130:H131"/>
    <mergeCell ref="B142:B145"/>
    <mergeCell ref="B73:B75"/>
    <mergeCell ref="D5:D6"/>
    <mergeCell ref="E5:G5"/>
    <mergeCell ref="H5:J5"/>
    <mergeCell ref="A146:D146"/>
    <mergeCell ref="E130:E131"/>
    <mergeCell ref="F130:F131"/>
    <mergeCell ref="B81:B95"/>
    <mergeCell ref="A80:A109"/>
  </mergeCells>
  <printOptions/>
  <pageMargins left="0" right="0" top="0.7480314960629921" bottom="0.35433070866141736" header="0.31496062992125984" footer="0.11811023622047245"/>
  <pageSetup fitToHeight="0" fitToWidth="1" horizontalDpi="600" verticalDpi="600" orientation="landscape" paperSize="9" r:id="rId1"/>
  <headerFooter>
    <oddFooter>&amp;CStrona &amp;P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3">
      <selection activeCell="I28" sqref="I28"/>
    </sheetView>
  </sheetViews>
  <sheetFormatPr defaultColWidth="9.140625" defaultRowHeight="15"/>
  <cols>
    <col min="1" max="1" width="6.28125" style="0" customWidth="1"/>
    <col min="2" max="2" width="7.8515625" style="0" customWidth="1"/>
    <col min="3" max="3" width="8.00390625" style="0" customWidth="1"/>
    <col min="4" max="4" width="37.140625" style="0" customWidth="1"/>
    <col min="5" max="5" width="13.7109375" style="0" customWidth="1"/>
    <col min="6" max="6" width="12.00390625" style="0" customWidth="1"/>
    <col min="7" max="8" width="13.7109375" style="0" customWidth="1"/>
    <col min="9" max="9" width="11.140625" style="0" customWidth="1"/>
    <col min="10" max="10" width="13.7109375" style="0" customWidth="1"/>
  </cols>
  <sheetData>
    <row r="1" spans="4:10" ht="15" customHeight="1">
      <c r="D1" s="155" t="s">
        <v>314</v>
      </c>
      <c r="E1" s="476"/>
      <c r="F1" s="476"/>
      <c r="G1" s="1826" t="s">
        <v>355</v>
      </c>
      <c r="H1" s="1826"/>
      <c r="I1" s="1826"/>
      <c r="J1" s="1826"/>
    </row>
    <row r="2" spans="5:10" ht="15">
      <c r="E2" s="155"/>
      <c r="F2" s="155"/>
      <c r="G2" s="155"/>
      <c r="H2" s="1828"/>
      <c r="I2" s="1828"/>
      <c r="J2" s="1828"/>
    </row>
    <row r="3" spans="4:10" ht="16.5" customHeight="1">
      <c r="D3" s="477"/>
      <c r="E3" s="5"/>
      <c r="F3" s="5"/>
      <c r="G3" s="5"/>
      <c r="H3" s="1829"/>
      <c r="I3" s="1829"/>
      <c r="J3" s="1829"/>
    </row>
    <row r="4" spans="1:10" ht="15" customHeight="1">
      <c r="A4" s="1830" t="s">
        <v>352</v>
      </c>
      <c r="B4" s="1830"/>
      <c r="C4" s="1830"/>
      <c r="D4" s="1830"/>
      <c r="E4" s="1830"/>
      <c r="F4" s="1830"/>
      <c r="G4" s="1830"/>
      <c r="H4" s="1830"/>
      <c r="I4" s="1830"/>
      <c r="J4" s="1830"/>
    </row>
    <row r="5" spans="1:10" ht="31.5" customHeight="1">
      <c r="A5" s="1830" t="s">
        <v>886</v>
      </c>
      <c r="B5" s="1830"/>
      <c r="C5" s="1830"/>
      <c r="D5" s="1830"/>
      <c r="E5" s="1830"/>
      <c r="F5" s="1830"/>
      <c r="G5" s="1830"/>
      <c r="H5" s="1830"/>
      <c r="I5" s="1830"/>
      <c r="J5" s="1830"/>
    </row>
    <row r="6" spans="1:10" ht="28.5" customHeight="1">
      <c r="A6" s="478" t="s">
        <v>101</v>
      </c>
      <c r="B6" s="478" t="s">
        <v>315</v>
      </c>
      <c r="C6" s="479"/>
      <c r="D6" s="479"/>
      <c r="E6" s="479"/>
      <c r="F6" s="479"/>
      <c r="G6" s="479"/>
      <c r="H6" s="479"/>
      <c r="I6" s="479"/>
      <c r="J6" s="479"/>
    </row>
    <row r="7" spans="1:10" ht="15">
      <c r="A7" s="1804" t="s">
        <v>0</v>
      </c>
      <c r="B7" s="1804" t="s">
        <v>1</v>
      </c>
      <c r="C7" s="1804" t="s">
        <v>112</v>
      </c>
      <c r="D7" s="1827" t="s">
        <v>3</v>
      </c>
      <c r="E7" s="1815" t="s">
        <v>65</v>
      </c>
      <c r="F7" s="1816"/>
      <c r="G7" s="1817"/>
      <c r="H7" s="1815" t="s">
        <v>5</v>
      </c>
      <c r="I7" s="1816"/>
      <c r="J7" s="1817"/>
    </row>
    <row r="8" spans="1:10" s="1" customFormat="1" ht="15" customHeight="1">
      <c r="A8" s="1804"/>
      <c r="B8" s="1804"/>
      <c r="C8" s="1804"/>
      <c r="D8" s="1827"/>
      <c r="E8" s="1818" t="s">
        <v>892</v>
      </c>
      <c r="F8" s="1818" t="s">
        <v>341</v>
      </c>
      <c r="G8" s="1818" t="s">
        <v>85</v>
      </c>
      <c r="H8" s="1818" t="s">
        <v>956</v>
      </c>
      <c r="I8" s="1818" t="s">
        <v>341</v>
      </c>
      <c r="J8" s="1818" t="s">
        <v>85</v>
      </c>
    </row>
    <row r="9" spans="1:10" s="1" customFormat="1" ht="23.25" customHeight="1">
      <c r="A9" s="1804"/>
      <c r="B9" s="1804"/>
      <c r="C9" s="1804"/>
      <c r="D9" s="1827"/>
      <c r="E9" s="1819"/>
      <c r="F9" s="1819"/>
      <c r="G9" s="1819"/>
      <c r="H9" s="1819"/>
      <c r="I9" s="1819"/>
      <c r="J9" s="1819"/>
    </row>
    <row r="10" spans="1:10" s="1" customFormat="1" ht="23.25" customHeight="1">
      <c r="A10" s="480">
        <v>600</v>
      </c>
      <c r="B10" s="480"/>
      <c r="C10" s="480"/>
      <c r="D10" s="481" t="s">
        <v>241</v>
      </c>
      <c r="E10" s="482">
        <f>E11</f>
        <v>10000</v>
      </c>
      <c r="F10" s="482">
        <f>F11</f>
        <v>10000</v>
      </c>
      <c r="G10" s="662">
        <f>F10/E10</f>
        <v>1</v>
      </c>
      <c r="H10" s="482">
        <f>H11</f>
        <v>10000</v>
      </c>
      <c r="I10" s="482">
        <f>I11</f>
        <v>10000</v>
      </c>
      <c r="J10" s="662">
        <f>I10/H10</f>
        <v>1</v>
      </c>
    </row>
    <row r="11" spans="1:10" s="1" customFormat="1" ht="23.25" customHeight="1">
      <c r="A11" s="1820"/>
      <c r="B11" s="74">
        <v>60013</v>
      </c>
      <c r="C11" s="74"/>
      <c r="D11" s="483" t="s">
        <v>316</v>
      </c>
      <c r="E11" s="61">
        <f>E12</f>
        <v>10000</v>
      </c>
      <c r="F11" s="61">
        <f>F12</f>
        <v>10000</v>
      </c>
      <c r="G11" s="77">
        <f>F11/E11</f>
        <v>1</v>
      </c>
      <c r="H11" s="61">
        <f>H13</f>
        <v>10000</v>
      </c>
      <c r="I11" s="61">
        <f>I13</f>
        <v>10000</v>
      </c>
      <c r="J11" s="77">
        <f>I11/H11</f>
        <v>1</v>
      </c>
    </row>
    <row r="12" spans="1:10" s="1" customFormat="1" ht="56.25" customHeight="1">
      <c r="A12" s="1821"/>
      <c r="B12" s="1820"/>
      <c r="C12" s="73">
        <v>2330</v>
      </c>
      <c r="D12" s="484" t="s">
        <v>317</v>
      </c>
      <c r="E12" s="71">
        <v>10000</v>
      </c>
      <c r="F12" s="485">
        <v>10000</v>
      </c>
      <c r="G12" s="801">
        <f>F12/E12</f>
        <v>1</v>
      </c>
      <c r="H12" s="71"/>
      <c r="I12" s="485"/>
      <c r="J12" s="801"/>
    </row>
    <row r="13" spans="1:10" s="1" customFormat="1" ht="23.25" customHeight="1">
      <c r="A13" s="1822"/>
      <c r="B13" s="1822"/>
      <c r="C13" s="73">
        <v>4300</v>
      </c>
      <c r="D13" s="484" t="s">
        <v>16</v>
      </c>
      <c r="E13" s="71"/>
      <c r="F13" s="485"/>
      <c r="G13" s="801"/>
      <c r="H13" s="71">
        <v>10000</v>
      </c>
      <c r="I13" s="485">
        <v>10000</v>
      </c>
      <c r="J13" s="801">
        <f>I13/H13</f>
        <v>1</v>
      </c>
    </row>
    <row r="14" spans="1:10" s="1" customFormat="1" ht="26.25" customHeight="1">
      <c r="A14" s="480">
        <v>801</v>
      </c>
      <c r="B14" s="486"/>
      <c r="C14" s="486"/>
      <c r="D14" s="487" t="s">
        <v>30</v>
      </c>
      <c r="E14" s="488">
        <f>E15</f>
        <v>30000</v>
      </c>
      <c r="F14" s="488">
        <f>F15</f>
        <v>33414.05</v>
      </c>
      <c r="G14" s="662">
        <f>F14/E14</f>
        <v>1.1138016666666668</v>
      </c>
      <c r="H14" s="488">
        <f>H17+H21</f>
        <v>30000</v>
      </c>
      <c r="I14" s="488">
        <f>I17+I21</f>
        <v>33414.05</v>
      </c>
      <c r="J14" s="662">
        <f>I14/H14</f>
        <v>1.1138016666666668</v>
      </c>
    </row>
    <row r="15" spans="1:10" s="1" customFormat="1" ht="19.5" customHeight="1">
      <c r="A15" s="1823"/>
      <c r="B15" s="489">
        <v>80104</v>
      </c>
      <c r="C15" s="489"/>
      <c r="D15" s="490" t="s">
        <v>77</v>
      </c>
      <c r="E15" s="62">
        <f>E16</f>
        <v>30000</v>
      </c>
      <c r="F15" s="62">
        <f>F16</f>
        <v>33414.05</v>
      </c>
      <c r="G15" s="77">
        <f>F15/E15</f>
        <v>1.1138016666666668</v>
      </c>
      <c r="H15" s="62">
        <f>H17</f>
        <v>30000</v>
      </c>
      <c r="I15" s="62">
        <f>I17</f>
        <v>33414.05</v>
      </c>
      <c r="J15" s="77">
        <f>I15/H15</f>
        <v>1.1138016666666668</v>
      </c>
    </row>
    <row r="16" spans="1:10" s="1" customFormat="1" ht="51">
      <c r="A16" s="1824"/>
      <c r="B16" s="65"/>
      <c r="C16" s="65">
        <v>2310</v>
      </c>
      <c r="D16" s="491" t="s">
        <v>318</v>
      </c>
      <c r="E16" s="492">
        <v>30000</v>
      </c>
      <c r="F16" s="492">
        <v>33414.05</v>
      </c>
      <c r="G16" s="802">
        <f>F16/E16</f>
        <v>1.1138016666666668</v>
      </c>
      <c r="H16" s="492"/>
      <c r="I16" s="16"/>
      <c r="J16" s="96"/>
    </row>
    <row r="17" spans="1:10" ht="25.5">
      <c r="A17" s="493"/>
      <c r="B17" s="493"/>
      <c r="C17" s="494">
        <v>2540</v>
      </c>
      <c r="D17" s="495" t="s">
        <v>259</v>
      </c>
      <c r="E17" s="496"/>
      <c r="F17" s="496"/>
      <c r="G17" s="803"/>
      <c r="H17" s="497">
        <v>30000</v>
      </c>
      <c r="I17" s="497">
        <v>33414.05</v>
      </c>
      <c r="J17" s="805">
        <f>I17/H17</f>
        <v>1.1138016666666668</v>
      </c>
    </row>
    <row r="18" spans="1:10" ht="24" customHeight="1">
      <c r="A18" s="1814" t="s">
        <v>226</v>
      </c>
      <c r="B18" s="1814"/>
      <c r="C18" s="1814"/>
      <c r="D18" s="1814"/>
      <c r="E18" s="498">
        <f>E14+E10</f>
        <v>40000</v>
      </c>
      <c r="F18" s="498">
        <f>F14+F10</f>
        <v>43414.05</v>
      </c>
      <c r="G18" s="804">
        <f>F18/E18</f>
        <v>1.08535125</v>
      </c>
      <c r="H18" s="498">
        <f>H14+H10</f>
        <v>40000</v>
      </c>
      <c r="I18" s="498">
        <f>I14+I10</f>
        <v>43414.05</v>
      </c>
      <c r="J18" s="804">
        <f>I18/H18</f>
        <v>1.08535125</v>
      </c>
    </row>
    <row r="19" spans="1:10" ht="24" customHeight="1">
      <c r="A19" s="499"/>
      <c r="B19" s="499"/>
      <c r="C19" s="499"/>
      <c r="D19" s="499"/>
      <c r="E19" s="500"/>
      <c r="F19" s="500"/>
      <c r="G19" s="500"/>
      <c r="H19" s="500"/>
      <c r="I19" s="500"/>
      <c r="J19" s="500"/>
    </row>
    <row r="20" spans="3:8" ht="15">
      <c r="C20" s="501"/>
      <c r="D20" s="501"/>
      <c r="E20" s="501"/>
      <c r="F20" s="501"/>
      <c r="G20" s="501"/>
      <c r="H20" s="501"/>
    </row>
    <row r="21" spans="1:10" ht="23.25" customHeight="1">
      <c r="A21" s="478" t="s">
        <v>103</v>
      </c>
      <c r="B21" s="478" t="s">
        <v>319</v>
      </c>
      <c r="C21" s="478"/>
      <c r="D21" s="478"/>
      <c r="E21" s="479"/>
      <c r="F21" s="479"/>
      <c r="G21" s="479"/>
      <c r="H21" s="479"/>
      <c r="I21" s="479"/>
      <c r="J21" s="479"/>
    </row>
    <row r="22" spans="1:10" ht="15">
      <c r="A22" s="1820" t="s">
        <v>0</v>
      </c>
      <c r="B22" s="1804" t="s">
        <v>1</v>
      </c>
      <c r="C22" s="1804" t="s">
        <v>112</v>
      </c>
      <c r="D22" s="1825" t="s">
        <v>3</v>
      </c>
      <c r="E22" s="1815" t="s">
        <v>65</v>
      </c>
      <c r="F22" s="1816"/>
      <c r="G22" s="1817"/>
      <c r="H22" s="1815" t="s">
        <v>5</v>
      </c>
      <c r="I22" s="1816"/>
      <c r="J22" s="1817"/>
    </row>
    <row r="23" spans="1:10" s="1" customFormat="1" ht="15" customHeight="1">
      <c r="A23" s="1821"/>
      <c r="B23" s="1804"/>
      <c r="C23" s="1804"/>
      <c r="D23" s="1825"/>
      <c r="E23" s="1818" t="s">
        <v>892</v>
      </c>
      <c r="F23" s="1818" t="s">
        <v>341</v>
      </c>
      <c r="G23" s="1818" t="s">
        <v>85</v>
      </c>
      <c r="H23" s="1818" t="s">
        <v>959</v>
      </c>
      <c r="I23" s="1818" t="s">
        <v>341</v>
      </c>
      <c r="J23" s="1818" t="s">
        <v>85</v>
      </c>
    </row>
    <row r="24" spans="1:10" s="1" customFormat="1" ht="23.25" customHeight="1">
      <c r="A24" s="1822"/>
      <c r="B24" s="1804"/>
      <c r="C24" s="1804"/>
      <c r="D24" s="1825"/>
      <c r="E24" s="1819"/>
      <c r="F24" s="1819"/>
      <c r="G24" s="1819"/>
      <c r="H24" s="1819"/>
      <c r="I24" s="1819"/>
      <c r="J24" s="1819"/>
    </row>
    <row r="25" spans="1:10" ht="15">
      <c r="A25" s="502">
        <v>801</v>
      </c>
      <c r="B25" s="502"/>
      <c r="C25" s="502"/>
      <c r="D25" s="502" t="s">
        <v>30</v>
      </c>
      <c r="E25" s="503">
        <f>E26</f>
        <v>258466</v>
      </c>
      <c r="F25" s="503">
        <f>F26</f>
        <v>258466</v>
      </c>
      <c r="G25" s="806">
        <v>0</v>
      </c>
      <c r="H25" s="503">
        <f>H26</f>
        <v>258466</v>
      </c>
      <c r="I25" s="503">
        <f>I26</f>
        <v>258466</v>
      </c>
      <c r="J25" s="806">
        <v>0</v>
      </c>
    </row>
    <row r="26" spans="1:10" ht="15">
      <c r="A26" s="504"/>
      <c r="B26" s="505">
        <v>80101</v>
      </c>
      <c r="C26" s="505"/>
      <c r="D26" s="505" t="s">
        <v>73</v>
      </c>
      <c r="E26" s="506">
        <f>E27</f>
        <v>258466</v>
      </c>
      <c r="F26" s="506">
        <f>F27</f>
        <v>258466</v>
      </c>
      <c r="G26" s="807">
        <v>0</v>
      </c>
      <c r="H26" s="506">
        <f>H28</f>
        <v>258466</v>
      </c>
      <c r="I26" s="506">
        <f>I28</f>
        <v>258466</v>
      </c>
      <c r="J26" s="807">
        <v>0</v>
      </c>
    </row>
    <row r="27" spans="1:10" ht="75">
      <c r="A27" s="507"/>
      <c r="B27" s="508"/>
      <c r="C27" s="508">
        <v>6320</v>
      </c>
      <c r="D27" s="509" t="s">
        <v>964</v>
      </c>
      <c r="E27" s="510">
        <v>258466</v>
      </c>
      <c r="F27" s="510">
        <v>258466</v>
      </c>
      <c r="G27" s="808">
        <v>1</v>
      </c>
      <c r="H27" s="510">
        <v>0</v>
      </c>
      <c r="I27" s="510">
        <v>0</v>
      </c>
      <c r="J27" s="808">
        <v>0</v>
      </c>
    </row>
    <row r="28" spans="1:10" ht="30">
      <c r="A28" s="507"/>
      <c r="B28" s="508"/>
      <c r="C28" s="508">
        <v>6050</v>
      </c>
      <c r="D28" s="509" t="s">
        <v>41</v>
      </c>
      <c r="E28" s="510"/>
      <c r="F28" s="510"/>
      <c r="G28" s="808"/>
      <c r="H28" s="1671">
        <v>258466</v>
      </c>
      <c r="I28" s="1671">
        <v>258466</v>
      </c>
      <c r="J28" s="808">
        <v>1</v>
      </c>
    </row>
    <row r="29" spans="1:10" ht="28.5" customHeight="1">
      <c r="A29" s="1814" t="s">
        <v>226</v>
      </c>
      <c r="B29" s="1814"/>
      <c r="C29" s="1814"/>
      <c r="D29" s="1814"/>
      <c r="E29" s="511">
        <f>E25</f>
        <v>258466</v>
      </c>
      <c r="F29" s="511">
        <f>F25</f>
        <v>258466</v>
      </c>
      <c r="G29" s="809">
        <v>1</v>
      </c>
      <c r="H29" s="511">
        <f>H25</f>
        <v>258466</v>
      </c>
      <c r="I29" s="511">
        <f>I25</f>
        <v>258466</v>
      </c>
      <c r="J29" s="808">
        <v>1</v>
      </c>
    </row>
    <row r="30" spans="1:10" ht="24" customHeight="1">
      <c r="A30" s="512"/>
      <c r="B30" s="513"/>
      <c r="C30" s="513"/>
      <c r="D30" s="514" t="s">
        <v>322</v>
      </c>
      <c r="E30" s="515">
        <f>E29+E18</f>
        <v>298466</v>
      </c>
      <c r="F30" s="515">
        <f>F29+F18</f>
        <v>301880.05</v>
      </c>
      <c r="G30" s="810">
        <f>F30/E30</f>
        <v>1.011438656329364</v>
      </c>
      <c r="H30" s="515">
        <f>H29+H18</f>
        <v>298466</v>
      </c>
      <c r="I30" s="515">
        <f>I29+I18</f>
        <v>301880.05</v>
      </c>
      <c r="J30" s="810">
        <f>I30/H30</f>
        <v>1.011438656329364</v>
      </c>
    </row>
  </sheetData>
  <sheetProtection/>
  <mergeCells count="34">
    <mergeCell ref="A7:A9"/>
    <mergeCell ref="B7:B9"/>
    <mergeCell ref="C7:C9"/>
    <mergeCell ref="D7:D9"/>
    <mergeCell ref="E7:G7"/>
    <mergeCell ref="H2:J2"/>
    <mergeCell ref="H3:J3"/>
    <mergeCell ref="A4:J4"/>
    <mergeCell ref="A5:J5"/>
    <mergeCell ref="G1:J1"/>
    <mergeCell ref="H7:J7"/>
    <mergeCell ref="E8:E9"/>
    <mergeCell ref="F8:F9"/>
    <mergeCell ref="G8:G9"/>
    <mergeCell ref="H8:H9"/>
    <mergeCell ref="I8:I9"/>
    <mergeCell ref="J8:J9"/>
    <mergeCell ref="A11:A13"/>
    <mergeCell ref="B12:B13"/>
    <mergeCell ref="A15:A16"/>
    <mergeCell ref="A18:D18"/>
    <mergeCell ref="A22:A24"/>
    <mergeCell ref="B22:B24"/>
    <mergeCell ref="C22:C24"/>
    <mergeCell ref="D22:D24"/>
    <mergeCell ref="A29:D29"/>
    <mergeCell ref="E22:G22"/>
    <mergeCell ref="H22:J22"/>
    <mergeCell ref="E23:E24"/>
    <mergeCell ref="F23:F24"/>
    <mergeCell ref="G23:G24"/>
    <mergeCell ref="H23:H24"/>
    <mergeCell ref="I23:I24"/>
    <mergeCell ref="J23:J2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115" zoomScaleNormal="115" zoomScalePageLayoutView="0" workbookViewId="0" topLeftCell="A46">
      <selection activeCell="M66" sqref="M66"/>
    </sheetView>
  </sheetViews>
  <sheetFormatPr defaultColWidth="9.140625" defaultRowHeight="15"/>
  <cols>
    <col min="1" max="1" width="5.00390625" style="1" customWidth="1"/>
    <col min="2" max="2" width="9.00390625" style="1" customWidth="1"/>
    <col min="3" max="3" width="6.140625" style="1" customWidth="1"/>
    <col min="4" max="4" width="31.57421875" style="1" customWidth="1"/>
    <col min="5" max="5" width="12.28125" style="1" customWidth="1"/>
    <col min="6" max="6" width="12.57421875" style="1" customWidth="1"/>
    <col min="7" max="7" width="9.28125" style="1" customWidth="1"/>
    <col min="8" max="8" width="12.140625" style="1" customWidth="1"/>
    <col min="9" max="9" width="12.00390625" style="1" customWidth="1"/>
    <col min="10" max="10" width="10.57421875" style="1" customWidth="1"/>
    <col min="11" max="11" width="10.140625" style="1" bestFit="1" customWidth="1"/>
    <col min="12" max="16384" width="9.140625" style="1" customWidth="1"/>
  </cols>
  <sheetData>
    <row r="1" spans="5:10" ht="12.75">
      <c r="E1" s="2"/>
      <c r="F1" s="2"/>
      <c r="G1" s="1839" t="s">
        <v>838</v>
      </c>
      <c r="H1" s="1839"/>
      <c r="I1" s="1839"/>
      <c r="J1" s="1839"/>
    </row>
    <row r="2" spans="5:10" ht="15" customHeight="1">
      <c r="E2" s="2"/>
      <c r="F2" s="2"/>
      <c r="G2" s="1836"/>
      <c r="H2" s="1836"/>
      <c r="I2" s="1836"/>
      <c r="J2" s="1836"/>
    </row>
    <row r="3" spans="1:10" ht="32.25" customHeight="1">
      <c r="A3" s="1837" t="s">
        <v>887</v>
      </c>
      <c r="B3" s="1837"/>
      <c r="C3" s="1837"/>
      <c r="D3" s="1837"/>
      <c r="E3" s="1837"/>
      <c r="F3" s="1837"/>
      <c r="G3" s="1837"/>
      <c r="H3" s="1837"/>
      <c r="I3" s="1837"/>
      <c r="J3" s="1837"/>
    </row>
    <row r="4" spans="1:8" ht="16.5" thickBot="1">
      <c r="A4" s="1838"/>
      <c r="B4" s="1838"/>
      <c r="C4" s="1838"/>
      <c r="D4" s="1838"/>
      <c r="E4" s="1838"/>
      <c r="F4" s="1838"/>
      <c r="G4" s="1838"/>
      <c r="H4" s="1838"/>
    </row>
    <row r="5" spans="1:10" ht="15" customHeight="1">
      <c r="A5" s="1811" t="s">
        <v>0</v>
      </c>
      <c r="B5" s="1811" t="s">
        <v>1</v>
      </c>
      <c r="C5" s="1811" t="s">
        <v>2</v>
      </c>
      <c r="D5" s="1784" t="s">
        <v>3</v>
      </c>
      <c r="E5" s="1833" t="s">
        <v>65</v>
      </c>
      <c r="F5" s="1834"/>
      <c r="G5" s="1834"/>
      <c r="H5" s="1833" t="s">
        <v>5</v>
      </c>
      <c r="I5" s="1834"/>
      <c r="J5" s="1835"/>
    </row>
    <row r="6" spans="1:10" ht="62.25" customHeight="1" thickBot="1">
      <c r="A6" s="1812"/>
      <c r="B6" s="1812"/>
      <c r="C6" s="1812"/>
      <c r="D6" s="1785"/>
      <c r="E6" s="588" t="s">
        <v>957</v>
      </c>
      <c r="F6" s="6" t="s">
        <v>897</v>
      </c>
      <c r="G6" s="583" t="s">
        <v>85</v>
      </c>
      <c r="H6" s="588" t="s">
        <v>958</v>
      </c>
      <c r="I6" s="6" t="s">
        <v>898</v>
      </c>
      <c r="J6" s="633" t="s">
        <v>85</v>
      </c>
    </row>
    <row r="7" spans="1:10" ht="12.75">
      <c r="A7" s="83">
        <v>758</v>
      </c>
      <c r="B7" s="93"/>
      <c r="C7" s="93"/>
      <c r="D7" s="615" t="s">
        <v>66</v>
      </c>
      <c r="E7" s="594">
        <f>E8</f>
        <v>97245.07</v>
      </c>
      <c r="F7" s="91">
        <f>F8</f>
        <v>97245.07</v>
      </c>
      <c r="G7" s="584">
        <f>F7/E7</f>
        <v>1</v>
      </c>
      <c r="H7" s="589"/>
      <c r="I7" s="567"/>
      <c r="J7" s="634"/>
    </row>
    <row r="8" spans="1:10" ht="12.75">
      <c r="A8" s="54"/>
      <c r="B8" s="55">
        <v>75814</v>
      </c>
      <c r="C8" s="56"/>
      <c r="D8" s="630" t="s">
        <v>24</v>
      </c>
      <c r="E8" s="590">
        <f>E9+E10</f>
        <v>97245.07</v>
      </c>
      <c r="F8" s="595">
        <f>F9+F10</f>
        <v>97245.07</v>
      </c>
      <c r="G8" s="635">
        <f>F8/E8</f>
        <v>1</v>
      </c>
      <c r="H8" s="590"/>
      <c r="I8" s="591"/>
      <c r="J8" s="636"/>
    </row>
    <row r="9" spans="1:10" ht="36">
      <c r="A9" s="54"/>
      <c r="B9" s="57"/>
      <c r="C9" s="58">
        <v>2030</v>
      </c>
      <c r="D9" s="40" t="s">
        <v>67</v>
      </c>
      <c r="E9" s="603">
        <v>83531.5</v>
      </c>
      <c r="F9" s="59">
        <v>83531.5</v>
      </c>
      <c r="G9" s="637">
        <f>F9/E9</f>
        <v>1</v>
      </c>
      <c r="H9" s="592"/>
      <c r="I9" s="568"/>
      <c r="J9" s="638"/>
    </row>
    <row r="10" spans="1:10" ht="48.75" thickBot="1">
      <c r="A10" s="54"/>
      <c r="B10" s="57"/>
      <c r="C10" s="57">
        <v>6330</v>
      </c>
      <c r="D10" s="42" t="s">
        <v>68</v>
      </c>
      <c r="E10" s="593">
        <v>13713.57</v>
      </c>
      <c r="F10" s="60">
        <v>13713.57</v>
      </c>
      <c r="G10" s="585">
        <f>F10/E10</f>
        <v>1</v>
      </c>
      <c r="H10" s="593"/>
      <c r="I10" s="569"/>
      <c r="J10" s="639"/>
    </row>
    <row r="11" spans="1:10" ht="12.75">
      <c r="A11" s="83">
        <v>700</v>
      </c>
      <c r="B11" s="93"/>
      <c r="C11" s="94"/>
      <c r="D11" s="616" t="s">
        <v>69</v>
      </c>
      <c r="E11" s="589"/>
      <c r="F11" s="95"/>
      <c r="G11" s="586"/>
      <c r="H11" s="594">
        <f aca="true" t="shared" si="0" ref="H11:J12">H12</f>
        <v>13713.57</v>
      </c>
      <c r="I11" s="89">
        <f t="shared" si="0"/>
        <v>13713.57</v>
      </c>
      <c r="J11" s="640">
        <f t="shared" si="0"/>
        <v>1</v>
      </c>
    </row>
    <row r="12" spans="1:10" ht="12.75">
      <c r="A12" s="54"/>
      <c r="B12" s="55">
        <v>70005</v>
      </c>
      <c r="C12" s="56"/>
      <c r="D12" s="630" t="s">
        <v>70</v>
      </c>
      <c r="E12" s="590"/>
      <c r="F12" s="595"/>
      <c r="G12" s="635"/>
      <c r="H12" s="590">
        <f t="shared" si="0"/>
        <v>13713.57</v>
      </c>
      <c r="I12" s="595">
        <f t="shared" si="0"/>
        <v>13713.57</v>
      </c>
      <c r="J12" s="641">
        <f t="shared" si="0"/>
        <v>1</v>
      </c>
    </row>
    <row r="13" spans="1:10" ht="24.75" thickBot="1">
      <c r="A13" s="54"/>
      <c r="B13" s="57"/>
      <c r="C13" s="57">
        <v>6060</v>
      </c>
      <c r="D13" s="42" t="s">
        <v>71</v>
      </c>
      <c r="E13" s="593"/>
      <c r="F13" s="60"/>
      <c r="G13" s="585"/>
      <c r="H13" s="596">
        <v>13713.57</v>
      </c>
      <c r="I13" s="570">
        <v>13713.57</v>
      </c>
      <c r="J13" s="639">
        <f>I13/H13</f>
        <v>1</v>
      </c>
    </row>
    <row r="14" spans="1:10" ht="12.75">
      <c r="A14" s="83">
        <v>750</v>
      </c>
      <c r="B14" s="90"/>
      <c r="C14" s="90"/>
      <c r="D14" s="615" t="s">
        <v>18</v>
      </c>
      <c r="E14" s="594"/>
      <c r="F14" s="91"/>
      <c r="G14" s="586"/>
      <c r="H14" s="597">
        <f aca="true" t="shared" si="1" ref="H14:J15">H15</f>
        <v>20000</v>
      </c>
      <c r="I14" s="92">
        <f t="shared" si="1"/>
        <v>20000</v>
      </c>
      <c r="J14" s="642">
        <f t="shared" si="1"/>
        <v>1</v>
      </c>
    </row>
    <row r="15" spans="1:10" ht="24">
      <c r="A15" s="54"/>
      <c r="B15" s="55">
        <v>75075</v>
      </c>
      <c r="C15" s="55"/>
      <c r="D15" s="617" t="s">
        <v>72</v>
      </c>
      <c r="E15" s="601"/>
      <c r="F15" s="61"/>
      <c r="G15" s="635"/>
      <c r="H15" s="598">
        <f t="shared" si="1"/>
        <v>20000</v>
      </c>
      <c r="I15" s="62">
        <f t="shared" si="1"/>
        <v>20000</v>
      </c>
      <c r="J15" s="643">
        <f t="shared" si="1"/>
        <v>1</v>
      </c>
    </row>
    <row r="16" spans="1:10" ht="13.5" thickBot="1">
      <c r="A16" s="54"/>
      <c r="B16" s="57"/>
      <c r="C16" s="57">
        <v>4300</v>
      </c>
      <c r="D16" s="42" t="s">
        <v>16</v>
      </c>
      <c r="E16" s="593"/>
      <c r="F16" s="60"/>
      <c r="G16" s="585"/>
      <c r="H16" s="596">
        <v>20000</v>
      </c>
      <c r="I16" s="570">
        <v>20000</v>
      </c>
      <c r="J16" s="639">
        <f>I16/H16</f>
        <v>1</v>
      </c>
    </row>
    <row r="17" spans="1:10" ht="12.75">
      <c r="A17" s="83">
        <v>801</v>
      </c>
      <c r="B17" s="86"/>
      <c r="C17" s="87"/>
      <c r="D17" s="618" t="s">
        <v>30</v>
      </c>
      <c r="E17" s="644">
        <f>E23+E26+E18</f>
        <v>604693</v>
      </c>
      <c r="F17" s="88">
        <f>F23+F26+F18</f>
        <v>597678</v>
      </c>
      <c r="G17" s="586">
        <f>F17/E17</f>
        <v>0.988399071925754</v>
      </c>
      <c r="H17" s="594">
        <f>H23+H26+H18</f>
        <v>604693</v>
      </c>
      <c r="I17" s="89">
        <f>I23+I26+I18</f>
        <v>597678</v>
      </c>
      <c r="J17" s="640">
        <f>I17/H17</f>
        <v>0.988399071925754</v>
      </c>
    </row>
    <row r="18" spans="1:10" ht="12.75">
      <c r="A18" s="63"/>
      <c r="B18" s="56">
        <v>80101</v>
      </c>
      <c r="C18" s="64"/>
      <c r="D18" s="483" t="s">
        <v>73</v>
      </c>
      <c r="E18" s="590">
        <f>E19</f>
        <v>0</v>
      </c>
      <c r="F18" s="595">
        <f>F19</f>
        <v>0</v>
      </c>
      <c r="G18" s="635">
        <v>0</v>
      </c>
      <c r="H18" s="590">
        <f>H20+H21+H22</f>
        <v>0</v>
      </c>
      <c r="I18" s="595">
        <f>I20+I21+I22</f>
        <v>0</v>
      </c>
      <c r="J18" s="641">
        <v>0</v>
      </c>
    </row>
    <row r="19" spans="1:10" ht="36">
      <c r="A19" s="63"/>
      <c r="B19" s="1840"/>
      <c r="C19" s="65">
        <v>2030</v>
      </c>
      <c r="D19" s="40" t="s">
        <v>67</v>
      </c>
      <c r="E19" s="599">
        <v>0</v>
      </c>
      <c r="F19" s="600">
        <v>0</v>
      </c>
      <c r="G19" s="637">
        <v>0</v>
      </c>
      <c r="H19" s="599"/>
      <c r="I19" s="600"/>
      <c r="J19" s="645"/>
    </row>
    <row r="20" spans="1:10" ht="25.5">
      <c r="A20" s="63"/>
      <c r="B20" s="1841"/>
      <c r="C20" s="66">
        <v>4240</v>
      </c>
      <c r="D20" s="631" t="s">
        <v>32</v>
      </c>
      <c r="E20" s="599"/>
      <c r="F20" s="600"/>
      <c r="G20" s="637"/>
      <c r="H20" s="599">
        <v>0</v>
      </c>
      <c r="I20" s="600">
        <v>0</v>
      </c>
      <c r="J20" s="645">
        <v>0</v>
      </c>
    </row>
    <row r="21" spans="1:10" ht="12.75">
      <c r="A21" s="63"/>
      <c r="B21" s="67"/>
      <c r="C21" s="66">
        <v>4270</v>
      </c>
      <c r="D21" s="631" t="s">
        <v>74</v>
      </c>
      <c r="E21" s="599"/>
      <c r="F21" s="600"/>
      <c r="G21" s="637"/>
      <c r="H21" s="599">
        <v>0</v>
      </c>
      <c r="I21" s="600">
        <v>0</v>
      </c>
      <c r="J21" s="645">
        <v>0</v>
      </c>
    </row>
    <row r="22" spans="1:10" ht="38.25">
      <c r="A22" s="63"/>
      <c r="B22" s="68"/>
      <c r="C22" s="66">
        <v>4330</v>
      </c>
      <c r="D22" s="631" t="s">
        <v>75</v>
      </c>
      <c r="E22" s="599"/>
      <c r="F22" s="600"/>
      <c r="G22" s="637"/>
      <c r="H22" s="599">
        <v>0</v>
      </c>
      <c r="I22" s="600">
        <v>0</v>
      </c>
      <c r="J22" s="645">
        <v>0</v>
      </c>
    </row>
    <row r="23" spans="1:10" ht="25.5">
      <c r="A23" s="54"/>
      <c r="B23" s="55">
        <v>80103</v>
      </c>
      <c r="C23" s="69"/>
      <c r="D23" s="619" t="s">
        <v>76</v>
      </c>
      <c r="E23" s="601">
        <f>E24</f>
        <v>106628</v>
      </c>
      <c r="F23" s="70">
        <f>F24</f>
        <v>99613</v>
      </c>
      <c r="G23" s="635">
        <f>F23/E23</f>
        <v>0.9342105263157895</v>
      </c>
      <c r="H23" s="601">
        <f>H25</f>
        <v>106628</v>
      </c>
      <c r="I23" s="70">
        <f>I25</f>
        <v>99613</v>
      </c>
      <c r="J23" s="646">
        <f>I23/H23</f>
        <v>0.9342105263157895</v>
      </c>
    </row>
    <row r="24" spans="1:10" ht="36">
      <c r="A24" s="54"/>
      <c r="B24" s="57"/>
      <c r="C24" s="65">
        <v>2030</v>
      </c>
      <c r="D24" s="40" t="s">
        <v>67</v>
      </c>
      <c r="E24" s="602">
        <v>106628</v>
      </c>
      <c r="F24" s="72">
        <v>99613</v>
      </c>
      <c r="G24" s="637">
        <f>F24/E24</f>
        <v>0.9342105263157895</v>
      </c>
      <c r="H24" s="602"/>
      <c r="I24" s="571"/>
      <c r="J24" s="647"/>
    </row>
    <row r="25" spans="1:10" ht="12.75">
      <c r="A25" s="54"/>
      <c r="B25" s="73"/>
      <c r="C25" s="58">
        <v>4010</v>
      </c>
      <c r="D25" s="40" t="s">
        <v>12</v>
      </c>
      <c r="E25" s="603"/>
      <c r="F25" s="59"/>
      <c r="G25" s="637"/>
      <c r="H25" s="603">
        <v>106628</v>
      </c>
      <c r="I25" s="59">
        <v>99613</v>
      </c>
      <c r="J25" s="648">
        <f>I25/H25</f>
        <v>0.9342105263157895</v>
      </c>
    </row>
    <row r="26" spans="1:10" ht="12.75">
      <c r="A26" s="54"/>
      <c r="B26" s="74">
        <v>80104</v>
      </c>
      <c r="C26" s="56"/>
      <c r="D26" s="483" t="s">
        <v>77</v>
      </c>
      <c r="E26" s="590">
        <f>E27</f>
        <v>498065</v>
      </c>
      <c r="F26" s="595">
        <f>F27</f>
        <v>498065</v>
      </c>
      <c r="G26" s="635">
        <f>F26/E26</f>
        <v>1</v>
      </c>
      <c r="H26" s="590">
        <f>H28</f>
        <v>498065</v>
      </c>
      <c r="I26" s="595">
        <f>I28</f>
        <v>498065</v>
      </c>
      <c r="J26" s="641">
        <f>J28</f>
        <v>1</v>
      </c>
    </row>
    <row r="27" spans="1:10" ht="36">
      <c r="A27" s="54"/>
      <c r="B27" s="57"/>
      <c r="C27" s="65">
        <v>2030</v>
      </c>
      <c r="D27" s="40" t="s">
        <v>67</v>
      </c>
      <c r="E27" s="602">
        <v>498065</v>
      </c>
      <c r="F27" s="72">
        <v>498065</v>
      </c>
      <c r="G27" s="637">
        <f>F27/E27</f>
        <v>1</v>
      </c>
      <c r="H27" s="602"/>
      <c r="I27" s="571"/>
      <c r="J27" s="647"/>
    </row>
    <row r="28" spans="1:10" ht="13.5" thickBot="1">
      <c r="A28" s="54"/>
      <c r="B28" s="57"/>
      <c r="C28" s="57">
        <v>4010</v>
      </c>
      <c r="D28" s="42" t="s">
        <v>12</v>
      </c>
      <c r="E28" s="592"/>
      <c r="F28" s="82"/>
      <c r="G28" s="585"/>
      <c r="H28" s="592">
        <v>498065</v>
      </c>
      <c r="I28" s="578">
        <v>498065</v>
      </c>
      <c r="J28" s="649">
        <f>I28/H28</f>
        <v>1</v>
      </c>
    </row>
    <row r="29" spans="1:10" ht="21.75" customHeight="1">
      <c r="A29" s="83">
        <v>852</v>
      </c>
      <c r="B29" s="84"/>
      <c r="C29" s="84"/>
      <c r="D29" s="620" t="s">
        <v>33</v>
      </c>
      <c r="E29" s="604">
        <f>E30+E33+E36+E39+E56+E51</f>
        <v>1017364</v>
      </c>
      <c r="F29" s="85">
        <f>F30+F33+F36+F39+F56+F51</f>
        <v>1009096.28</v>
      </c>
      <c r="G29" s="586">
        <f>F29/E29</f>
        <v>0.9918733904482565</v>
      </c>
      <c r="H29" s="604">
        <f>H30+H33+H36+H39+H56+H51</f>
        <v>1017364</v>
      </c>
      <c r="I29" s="85">
        <f>I30+I33+I36+I39+I56+I51</f>
        <v>1008996.28</v>
      </c>
      <c r="J29" s="650">
        <f>I29/H29</f>
        <v>0.9917750972120106</v>
      </c>
    </row>
    <row r="30" spans="1:10" ht="76.5">
      <c r="A30" s="14"/>
      <c r="B30" s="26">
        <v>85213</v>
      </c>
      <c r="C30" s="27"/>
      <c r="D30" s="621" t="s">
        <v>42</v>
      </c>
      <c r="E30" s="605">
        <f>E31</f>
        <v>54218</v>
      </c>
      <c r="F30" s="572">
        <f>F31</f>
        <v>54165.46</v>
      </c>
      <c r="G30" s="635">
        <f>F30/E30</f>
        <v>0.9990309491312848</v>
      </c>
      <c r="H30" s="605">
        <f>H32</f>
        <v>54218</v>
      </c>
      <c r="I30" s="572">
        <f>I32</f>
        <v>54165.46</v>
      </c>
      <c r="J30" s="651">
        <f>I30/H30</f>
        <v>0.9990309491312848</v>
      </c>
    </row>
    <row r="31" spans="1:11" ht="36">
      <c r="A31" s="14"/>
      <c r="B31" s="10"/>
      <c r="C31" s="15">
        <v>2030</v>
      </c>
      <c r="D31" s="40" t="s">
        <v>67</v>
      </c>
      <c r="E31" s="606">
        <v>54218</v>
      </c>
      <c r="F31" s="652">
        <v>54165.46</v>
      </c>
      <c r="G31" s="637">
        <f>F31/E31</f>
        <v>0.9990309491312848</v>
      </c>
      <c r="H31" s="606"/>
      <c r="I31" s="571"/>
      <c r="J31" s="647"/>
      <c r="K31" s="51"/>
    </row>
    <row r="32" spans="1:10" ht="15.75">
      <c r="A32" s="14"/>
      <c r="B32" s="35"/>
      <c r="C32" s="15">
        <v>4130</v>
      </c>
      <c r="D32" s="40" t="s">
        <v>43</v>
      </c>
      <c r="E32" s="606"/>
      <c r="F32" s="652"/>
      <c r="G32" s="637"/>
      <c r="H32" s="607">
        <v>54218</v>
      </c>
      <c r="I32" s="573">
        <v>54165.46</v>
      </c>
      <c r="J32" s="653">
        <f>I32/H32</f>
        <v>0.9990309491312848</v>
      </c>
    </row>
    <row r="33" spans="1:10" ht="38.25">
      <c r="A33" s="14"/>
      <c r="B33" s="26">
        <v>85214</v>
      </c>
      <c r="C33" s="27"/>
      <c r="D33" s="621" t="s">
        <v>78</v>
      </c>
      <c r="E33" s="605">
        <f>E34</f>
        <v>96000</v>
      </c>
      <c r="F33" s="572">
        <f>F34</f>
        <v>96000</v>
      </c>
      <c r="G33" s="635">
        <f>F33/E33</f>
        <v>1</v>
      </c>
      <c r="H33" s="605">
        <f>H35</f>
        <v>96000</v>
      </c>
      <c r="I33" s="572">
        <f>I35</f>
        <v>96000</v>
      </c>
      <c r="J33" s="651">
        <f>I33/H33</f>
        <v>1</v>
      </c>
    </row>
    <row r="34" spans="1:10" ht="36">
      <c r="A34" s="14"/>
      <c r="B34" s="10"/>
      <c r="C34" s="15">
        <v>2030</v>
      </c>
      <c r="D34" s="40" t="s">
        <v>67</v>
      </c>
      <c r="E34" s="606">
        <v>96000</v>
      </c>
      <c r="F34" s="652">
        <v>96000</v>
      </c>
      <c r="G34" s="637">
        <f>F34/E34</f>
        <v>1</v>
      </c>
      <c r="H34" s="606"/>
      <c r="I34" s="573"/>
      <c r="J34" s="647"/>
    </row>
    <row r="35" spans="1:10" ht="15.75">
      <c r="A35" s="14"/>
      <c r="B35" s="35"/>
      <c r="C35" s="15">
        <v>3110</v>
      </c>
      <c r="D35" s="40" t="s">
        <v>50</v>
      </c>
      <c r="E35" s="606"/>
      <c r="F35" s="652"/>
      <c r="G35" s="637"/>
      <c r="H35" s="606">
        <v>96000</v>
      </c>
      <c r="I35" s="573">
        <v>96000</v>
      </c>
      <c r="J35" s="653">
        <f>I35/H35</f>
        <v>1</v>
      </c>
    </row>
    <row r="36" spans="1:10" ht="15.75">
      <c r="A36" s="14"/>
      <c r="B36" s="22">
        <v>85216</v>
      </c>
      <c r="C36" s="12"/>
      <c r="D36" s="632" t="s">
        <v>79</v>
      </c>
      <c r="E36" s="654">
        <f>SUM(E37:E37)</f>
        <v>448271</v>
      </c>
      <c r="F36" s="655">
        <f>SUM(F37:F37)</f>
        <v>440095.46</v>
      </c>
      <c r="G36" s="635">
        <f>F36/E36</f>
        <v>0.9817620591115642</v>
      </c>
      <c r="H36" s="608">
        <f>SUM(H38)</f>
        <v>448271</v>
      </c>
      <c r="I36" s="609">
        <f>SUM(I38)</f>
        <v>440095.46</v>
      </c>
      <c r="J36" s="656">
        <f>I36/H36</f>
        <v>0.9817620591115642</v>
      </c>
    </row>
    <row r="37" spans="1:11" ht="36">
      <c r="A37" s="14"/>
      <c r="B37" s="10"/>
      <c r="C37" s="15">
        <v>2030</v>
      </c>
      <c r="D37" s="40" t="s">
        <v>67</v>
      </c>
      <c r="E37" s="606">
        <v>448271</v>
      </c>
      <c r="F37" s="652">
        <v>440095.46</v>
      </c>
      <c r="G37" s="637">
        <f>F37/E37</f>
        <v>0.9817620591115642</v>
      </c>
      <c r="H37" s="606"/>
      <c r="I37" s="571"/>
      <c r="J37" s="647"/>
      <c r="K37" s="51"/>
    </row>
    <row r="38" spans="1:10" ht="15.75">
      <c r="A38" s="14"/>
      <c r="B38" s="14"/>
      <c r="C38" s="15">
        <v>3110</v>
      </c>
      <c r="D38" s="40" t="s">
        <v>50</v>
      </c>
      <c r="E38" s="606"/>
      <c r="F38" s="652"/>
      <c r="G38" s="637"/>
      <c r="H38" s="606">
        <v>448271</v>
      </c>
      <c r="I38" s="573">
        <v>440095.46</v>
      </c>
      <c r="J38" s="653">
        <f>I38/H38</f>
        <v>0.9817620591115642</v>
      </c>
    </row>
    <row r="39" spans="1:10" ht="15.75">
      <c r="A39" s="14"/>
      <c r="B39" s="26">
        <v>85219</v>
      </c>
      <c r="C39" s="12"/>
      <c r="D39" s="632" t="s">
        <v>80</v>
      </c>
      <c r="E39" s="654">
        <f>E40</f>
        <v>198375</v>
      </c>
      <c r="F39" s="655">
        <f>F40</f>
        <v>198335.36</v>
      </c>
      <c r="G39" s="635">
        <f>F39/E39</f>
        <v>0.9998001764335223</v>
      </c>
      <c r="H39" s="608">
        <f>SUM(H41:H50)</f>
        <v>198375</v>
      </c>
      <c r="I39" s="609">
        <f>SUM(I41:I50)</f>
        <v>198235.36</v>
      </c>
      <c r="J39" s="656">
        <f>I39/H39</f>
        <v>0.9992960806553245</v>
      </c>
    </row>
    <row r="40" spans="1:10" ht="36">
      <c r="A40" s="14"/>
      <c r="B40" s="10"/>
      <c r="C40" s="15">
        <v>2030</v>
      </c>
      <c r="D40" s="40" t="s">
        <v>67</v>
      </c>
      <c r="E40" s="606">
        <v>198375</v>
      </c>
      <c r="F40" s="652">
        <v>198335.36</v>
      </c>
      <c r="G40" s="637">
        <f>F40/E40</f>
        <v>0.9998001764335223</v>
      </c>
      <c r="H40" s="606"/>
      <c r="I40" s="571"/>
      <c r="J40" s="647"/>
    </row>
    <row r="41" spans="1:10" ht="24">
      <c r="A41" s="14"/>
      <c r="B41" s="14"/>
      <c r="C41" s="15">
        <v>3020</v>
      </c>
      <c r="D41" s="40" t="s">
        <v>20</v>
      </c>
      <c r="E41" s="657"/>
      <c r="F41" s="575"/>
      <c r="G41" s="637"/>
      <c r="H41" s="606">
        <v>3057</v>
      </c>
      <c r="I41" s="573">
        <v>3057</v>
      </c>
      <c r="J41" s="653">
        <f>I41/H41</f>
        <v>1</v>
      </c>
    </row>
    <row r="42" spans="1:10" ht="15.75">
      <c r="A42" s="14"/>
      <c r="B42" s="14"/>
      <c r="C42" s="15">
        <v>4010</v>
      </c>
      <c r="D42" s="40" t="s">
        <v>12</v>
      </c>
      <c r="E42" s="657"/>
      <c r="F42" s="575"/>
      <c r="G42" s="637"/>
      <c r="H42" s="606">
        <v>102577.24</v>
      </c>
      <c r="I42" s="573">
        <v>102577.24</v>
      </c>
      <c r="J42" s="653">
        <f aca="true" t="shared" si="2" ref="J42:J50">I42/H42</f>
        <v>1</v>
      </c>
    </row>
    <row r="43" spans="1:10" ht="15.75">
      <c r="A43" s="75"/>
      <c r="B43" s="14"/>
      <c r="C43" s="15">
        <v>4040</v>
      </c>
      <c r="D43" s="40" t="s">
        <v>21</v>
      </c>
      <c r="E43" s="657"/>
      <c r="F43" s="575"/>
      <c r="G43" s="637"/>
      <c r="H43" s="606">
        <v>19896.99</v>
      </c>
      <c r="I43" s="573">
        <v>19896.99</v>
      </c>
      <c r="J43" s="653">
        <f t="shared" si="2"/>
        <v>1</v>
      </c>
    </row>
    <row r="44" spans="1:10" ht="15.75">
      <c r="A44" s="75"/>
      <c r="B44" s="14"/>
      <c r="C44" s="15">
        <v>4110</v>
      </c>
      <c r="D44" s="40" t="s">
        <v>13</v>
      </c>
      <c r="E44" s="657"/>
      <c r="F44" s="575"/>
      <c r="G44" s="637"/>
      <c r="H44" s="1662">
        <v>21313.24</v>
      </c>
      <c r="I44" s="1663">
        <v>21213.24</v>
      </c>
      <c r="J44" s="653">
        <f t="shared" si="2"/>
        <v>0.9953080807986022</v>
      </c>
    </row>
    <row r="45" spans="1:10" ht="15.75">
      <c r="A45" s="14"/>
      <c r="B45" s="14"/>
      <c r="C45" s="37">
        <v>4120</v>
      </c>
      <c r="D45" s="622" t="s">
        <v>14</v>
      </c>
      <c r="E45" s="657"/>
      <c r="F45" s="575"/>
      <c r="G45" s="637"/>
      <c r="H45" s="610">
        <v>3002.53</v>
      </c>
      <c r="I45" s="573">
        <v>3002.53</v>
      </c>
      <c r="J45" s="653">
        <f t="shared" si="2"/>
        <v>1</v>
      </c>
    </row>
    <row r="46" spans="1:10" ht="15.75">
      <c r="A46" s="14"/>
      <c r="B46" s="14"/>
      <c r="C46" s="15">
        <v>4210</v>
      </c>
      <c r="D46" s="40" t="s">
        <v>15</v>
      </c>
      <c r="E46" s="657"/>
      <c r="F46" s="575"/>
      <c r="G46" s="637"/>
      <c r="H46" s="606">
        <v>12000</v>
      </c>
      <c r="I46" s="573">
        <v>12000</v>
      </c>
      <c r="J46" s="653">
        <f t="shared" si="2"/>
        <v>1</v>
      </c>
    </row>
    <row r="47" spans="1:10" ht="15.75">
      <c r="A47" s="14"/>
      <c r="B47" s="14"/>
      <c r="C47" s="15">
        <v>4260</v>
      </c>
      <c r="D47" s="40" t="s">
        <v>37</v>
      </c>
      <c r="E47" s="657"/>
      <c r="F47" s="575"/>
      <c r="G47" s="637"/>
      <c r="H47" s="606">
        <v>3000</v>
      </c>
      <c r="I47" s="573">
        <v>3000</v>
      </c>
      <c r="J47" s="653">
        <f t="shared" si="2"/>
        <v>1</v>
      </c>
    </row>
    <row r="48" spans="1:10" ht="15.75">
      <c r="A48" s="14"/>
      <c r="B48" s="14"/>
      <c r="C48" s="15">
        <v>4300</v>
      </c>
      <c r="D48" s="40" t="s">
        <v>16</v>
      </c>
      <c r="E48" s="657"/>
      <c r="F48" s="575"/>
      <c r="G48" s="637"/>
      <c r="H48" s="606">
        <v>20758</v>
      </c>
      <c r="I48" s="573">
        <v>20758</v>
      </c>
      <c r="J48" s="653">
        <f t="shared" si="2"/>
        <v>1</v>
      </c>
    </row>
    <row r="49" spans="1:10" ht="24">
      <c r="A49" s="14"/>
      <c r="B49" s="14"/>
      <c r="C49" s="15">
        <v>4440</v>
      </c>
      <c r="D49" s="40" t="s">
        <v>40</v>
      </c>
      <c r="E49" s="657"/>
      <c r="F49" s="575"/>
      <c r="G49" s="637"/>
      <c r="H49" s="606">
        <v>8770</v>
      </c>
      <c r="I49" s="573">
        <v>8770</v>
      </c>
      <c r="J49" s="653">
        <f t="shared" si="2"/>
        <v>1</v>
      </c>
    </row>
    <row r="50" spans="1:10" ht="24">
      <c r="A50" s="14"/>
      <c r="B50" s="35"/>
      <c r="C50" s="15">
        <v>4700</v>
      </c>
      <c r="D50" s="40" t="s">
        <v>23</v>
      </c>
      <c r="E50" s="606"/>
      <c r="F50" s="652"/>
      <c r="G50" s="637"/>
      <c r="H50" s="606">
        <v>4000</v>
      </c>
      <c r="I50" s="573">
        <v>3960.36</v>
      </c>
      <c r="J50" s="653">
        <f t="shared" si="2"/>
        <v>0.99009</v>
      </c>
    </row>
    <row r="51" spans="1:10" ht="25.5" hidden="1">
      <c r="A51" s="14"/>
      <c r="B51" s="76">
        <v>85228</v>
      </c>
      <c r="C51" s="22"/>
      <c r="D51" s="632" t="s">
        <v>46</v>
      </c>
      <c r="E51" s="608">
        <f>E52</f>
        <v>0</v>
      </c>
      <c r="F51" s="609">
        <f>F52</f>
        <v>0</v>
      </c>
      <c r="G51" s="637"/>
      <c r="H51" s="608">
        <f>H53+H54+H55</f>
        <v>0</v>
      </c>
      <c r="I51" s="609">
        <f>I53+I54+I55</f>
        <v>0</v>
      </c>
      <c r="J51" s="656"/>
    </row>
    <row r="52" spans="1:10" ht="36" hidden="1">
      <c r="A52" s="14"/>
      <c r="B52" s="14"/>
      <c r="C52" s="15">
        <v>2030</v>
      </c>
      <c r="D52" s="40" t="s">
        <v>67</v>
      </c>
      <c r="E52" s="610">
        <v>0</v>
      </c>
      <c r="F52" s="576"/>
      <c r="G52" s="637"/>
      <c r="H52" s="611"/>
      <c r="I52" s="573"/>
      <c r="J52" s="653"/>
    </row>
    <row r="53" spans="1:10" ht="15.75" hidden="1">
      <c r="A53" s="14"/>
      <c r="B53" s="14"/>
      <c r="C53" s="15">
        <v>4010</v>
      </c>
      <c r="D53" s="40" t="s">
        <v>12</v>
      </c>
      <c r="E53" s="657"/>
      <c r="F53" s="575"/>
      <c r="G53" s="637"/>
      <c r="H53" s="606">
        <v>0</v>
      </c>
      <c r="I53" s="574"/>
      <c r="J53" s="653"/>
    </row>
    <row r="54" spans="1:10" ht="15.75" hidden="1">
      <c r="A54" s="75"/>
      <c r="B54" s="14"/>
      <c r="C54" s="15">
        <v>4110</v>
      </c>
      <c r="D54" s="40" t="s">
        <v>13</v>
      </c>
      <c r="E54" s="657"/>
      <c r="F54" s="575"/>
      <c r="G54" s="637"/>
      <c r="H54" s="606">
        <v>0</v>
      </c>
      <c r="I54" s="574"/>
      <c r="J54" s="653"/>
    </row>
    <row r="55" spans="1:10" ht="15.75" hidden="1">
      <c r="A55" s="14"/>
      <c r="B55" s="35"/>
      <c r="C55" s="37">
        <v>4120</v>
      </c>
      <c r="D55" s="622" t="s">
        <v>14</v>
      </c>
      <c r="E55" s="606"/>
      <c r="F55" s="652"/>
      <c r="G55" s="637"/>
      <c r="H55" s="610">
        <v>0</v>
      </c>
      <c r="I55" s="574"/>
      <c r="J55" s="653"/>
    </row>
    <row r="56" spans="1:10" ht="15.75">
      <c r="A56" s="14"/>
      <c r="B56" s="76">
        <v>85230</v>
      </c>
      <c r="C56" s="22"/>
      <c r="D56" s="632" t="s">
        <v>81</v>
      </c>
      <c r="E56" s="608">
        <f>E57</f>
        <v>220500</v>
      </c>
      <c r="F56" s="609">
        <f>F57</f>
        <v>220500</v>
      </c>
      <c r="G56" s="635">
        <f>F56/E56</f>
        <v>1</v>
      </c>
      <c r="H56" s="608">
        <f>H58</f>
        <v>220500</v>
      </c>
      <c r="I56" s="609">
        <f>I58</f>
        <v>220500</v>
      </c>
      <c r="J56" s="656">
        <f>I56/H56</f>
        <v>1</v>
      </c>
    </row>
    <row r="57" spans="1:10" ht="36">
      <c r="A57" s="14"/>
      <c r="B57" s="14"/>
      <c r="C57" s="15">
        <v>2030</v>
      </c>
      <c r="D57" s="40" t="s">
        <v>67</v>
      </c>
      <c r="E57" s="610">
        <v>220500</v>
      </c>
      <c r="F57" s="576">
        <v>220500</v>
      </c>
      <c r="G57" s="637">
        <f>F57/E57</f>
        <v>1</v>
      </c>
      <c r="H57" s="611"/>
      <c r="I57" s="573"/>
      <c r="J57" s="653"/>
    </row>
    <row r="58" spans="1:10" ht="16.5" thickBot="1">
      <c r="A58" s="14"/>
      <c r="B58" s="14"/>
      <c r="C58" s="24">
        <v>3110</v>
      </c>
      <c r="D58" s="42" t="s">
        <v>50</v>
      </c>
      <c r="E58" s="657"/>
      <c r="F58" s="575"/>
      <c r="G58" s="585"/>
      <c r="H58" s="612">
        <v>220500</v>
      </c>
      <c r="I58" s="578">
        <v>220500</v>
      </c>
      <c r="J58" s="649">
        <f>I58/H58</f>
        <v>1</v>
      </c>
    </row>
    <row r="59" spans="1:10" ht="12.75">
      <c r="A59" s="81">
        <v>854</v>
      </c>
      <c r="B59" s="81"/>
      <c r="C59" s="81"/>
      <c r="D59" s="623" t="s">
        <v>82</v>
      </c>
      <c r="E59" s="597">
        <f>E60</f>
        <v>205643</v>
      </c>
      <c r="F59" s="92">
        <f>F60</f>
        <v>174953.97</v>
      </c>
      <c r="G59" s="586">
        <f>F59/E59</f>
        <v>0.8507655013786027</v>
      </c>
      <c r="H59" s="597">
        <f>H60</f>
        <v>205643</v>
      </c>
      <c r="I59" s="92">
        <f>I60</f>
        <v>174953.97</v>
      </c>
      <c r="J59" s="642">
        <f>I59/H59</f>
        <v>0.8507655013786027</v>
      </c>
    </row>
    <row r="60" spans="1:10" ht="24">
      <c r="A60" s="14"/>
      <c r="B60" s="43">
        <v>85415</v>
      </c>
      <c r="C60" s="43"/>
      <c r="D60" s="617" t="s">
        <v>83</v>
      </c>
      <c r="E60" s="658">
        <f>E61</f>
        <v>205643</v>
      </c>
      <c r="F60" s="579">
        <f>F61</f>
        <v>174953.97</v>
      </c>
      <c r="G60" s="635">
        <f>F60/E60</f>
        <v>0.8507655013786027</v>
      </c>
      <c r="H60" s="598">
        <f>H62</f>
        <v>205643</v>
      </c>
      <c r="I60" s="62">
        <f>I62</f>
        <v>174953.97</v>
      </c>
      <c r="J60" s="643">
        <f>I60/H60</f>
        <v>0.8507655013786027</v>
      </c>
    </row>
    <row r="61" spans="1:10" ht="36">
      <c r="A61" s="14"/>
      <c r="B61" s="1831"/>
      <c r="C61" s="15">
        <v>2030</v>
      </c>
      <c r="D61" s="40" t="s">
        <v>67</v>
      </c>
      <c r="E61" s="610">
        <v>205643</v>
      </c>
      <c r="F61" s="577">
        <v>174953.97</v>
      </c>
      <c r="G61" s="637">
        <f>F61/E61</f>
        <v>0.8507655013786027</v>
      </c>
      <c r="H61" s="611"/>
      <c r="I61" s="573"/>
      <c r="J61" s="653"/>
    </row>
    <row r="62" spans="1:10" ht="16.5" thickBot="1">
      <c r="A62" s="14"/>
      <c r="B62" s="1832"/>
      <c r="C62" s="79">
        <v>3240</v>
      </c>
      <c r="D62" s="624" t="s">
        <v>84</v>
      </c>
      <c r="E62" s="659"/>
      <c r="F62" s="580"/>
      <c r="G62" s="585"/>
      <c r="H62" s="613">
        <v>205643</v>
      </c>
      <c r="I62" s="1664">
        <v>174953.97</v>
      </c>
      <c r="J62" s="649">
        <f>I62/H62</f>
        <v>0.8507655013786027</v>
      </c>
    </row>
    <row r="63" spans="1:10" ht="12.75">
      <c r="A63" s="81">
        <v>855</v>
      </c>
      <c r="B63" s="81"/>
      <c r="C63" s="81"/>
      <c r="D63" s="623" t="s">
        <v>47</v>
      </c>
      <c r="E63" s="597">
        <f>E64</f>
        <v>47521</v>
      </c>
      <c r="F63" s="92">
        <f>F64</f>
        <v>47521</v>
      </c>
      <c r="G63" s="586">
        <f>F63/E63</f>
        <v>1</v>
      </c>
      <c r="H63" s="597">
        <f>H64</f>
        <v>47521</v>
      </c>
      <c r="I63" s="92">
        <f>I64</f>
        <v>47521</v>
      </c>
      <c r="J63" s="642">
        <f>I63/H63</f>
        <v>1</v>
      </c>
    </row>
    <row r="64" spans="1:10" ht="15.75">
      <c r="A64" s="14"/>
      <c r="B64" s="43">
        <v>85504</v>
      </c>
      <c r="C64" s="43"/>
      <c r="D64" s="617" t="s">
        <v>54</v>
      </c>
      <c r="E64" s="658">
        <f>E65</f>
        <v>47521</v>
      </c>
      <c r="F64" s="579">
        <f>F65</f>
        <v>47521</v>
      </c>
      <c r="G64" s="635">
        <f>F64/E64</f>
        <v>1</v>
      </c>
      <c r="H64" s="598">
        <f>H66</f>
        <v>47521</v>
      </c>
      <c r="I64" s="62">
        <f>I66</f>
        <v>47521</v>
      </c>
      <c r="J64" s="643">
        <f>I64/H64</f>
        <v>1</v>
      </c>
    </row>
    <row r="65" spans="1:10" ht="36">
      <c r="A65" s="14"/>
      <c r="B65" s="1831"/>
      <c r="C65" s="15">
        <v>2030</v>
      </c>
      <c r="D65" s="40" t="s">
        <v>67</v>
      </c>
      <c r="E65" s="610">
        <v>47521</v>
      </c>
      <c r="F65" s="577">
        <v>47521</v>
      </c>
      <c r="G65" s="637">
        <f>F65/E65</f>
        <v>1</v>
      </c>
      <c r="H65" s="611"/>
      <c r="I65" s="573"/>
      <c r="J65" s="653"/>
    </row>
    <row r="66" spans="1:10" ht="16.5" thickBot="1">
      <c r="A66" s="14"/>
      <c r="B66" s="1832"/>
      <c r="C66" s="79">
        <v>4010</v>
      </c>
      <c r="D66" s="624" t="s">
        <v>12</v>
      </c>
      <c r="E66" s="659"/>
      <c r="F66" s="580"/>
      <c r="G66" s="585"/>
      <c r="H66" s="613">
        <v>47521</v>
      </c>
      <c r="I66" s="578">
        <v>47521</v>
      </c>
      <c r="J66" s="649">
        <f>I66/H66</f>
        <v>1</v>
      </c>
    </row>
    <row r="67" spans="1:10" ht="13.5" thickBot="1">
      <c r="A67" s="48"/>
      <c r="B67" s="48"/>
      <c r="C67" s="48"/>
      <c r="D67" s="625" t="s">
        <v>55</v>
      </c>
      <c r="E67" s="614">
        <f>E29+E17+E59+E7+E63</f>
        <v>1972466.07</v>
      </c>
      <c r="F67" s="581">
        <f>F29+F17+F59+F7+F63</f>
        <v>1926494.32</v>
      </c>
      <c r="G67" s="587">
        <f>F67/E67</f>
        <v>0.9766932619530434</v>
      </c>
      <c r="H67" s="614">
        <f>H29+H17+H59+H7+H63+H14+H11</f>
        <v>1908934.57</v>
      </c>
      <c r="I67" s="581">
        <f>I29+I17+I59+I7+I63+I14+I11</f>
        <v>1862862.82</v>
      </c>
      <c r="J67" s="660">
        <f>I67/H67</f>
        <v>0.9758652021268597</v>
      </c>
    </row>
  </sheetData>
  <sheetProtection/>
  <mergeCells count="13">
    <mergeCell ref="G1:J1"/>
    <mergeCell ref="B19:B20"/>
    <mergeCell ref="A5:A6"/>
    <mergeCell ref="B5:B6"/>
    <mergeCell ref="C5:C6"/>
    <mergeCell ref="D5:D6"/>
    <mergeCell ref="E5:G5"/>
    <mergeCell ref="B61:B62"/>
    <mergeCell ref="B65:B66"/>
    <mergeCell ref="H5:J5"/>
    <mergeCell ref="G2:J2"/>
    <mergeCell ref="A3:J3"/>
    <mergeCell ref="A4:H4"/>
  </mergeCells>
  <printOptions/>
  <pageMargins left="0.3937007874015748" right="0" top="0.5511811023622047" bottom="0.5905511811023623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06">
      <selection activeCell="K121" sqref="K121"/>
    </sheetView>
  </sheetViews>
  <sheetFormatPr defaultColWidth="9.140625" defaultRowHeight="15"/>
  <cols>
    <col min="1" max="1" width="5.7109375" style="154" customWidth="1"/>
    <col min="2" max="2" width="8.140625" style="154" customWidth="1"/>
    <col min="3" max="3" width="6.7109375" style="154" customWidth="1"/>
    <col min="4" max="4" width="34.8515625" style="154" customWidth="1"/>
    <col min="5" max="5" width="13.57421875" style="154" customWidth="1"/>
    <col min="6" max="6" width="14.140625" style="154" customWidth="1"/>
    <col min="7" max="7" width="11.00390625" style="154" customWidth="1"/>
    <col min="8" max="16384" width="9.140625" style="154" customWidth="1"/>
  </cols>
  <sheetData>
    <row r="1" spans="1:7" ht="12" customHeight="1">
      <c r="A1" s="153"/>
      <c r="B1" s="153"/>
      <c r="C1" s="153"/>
      <c r="D1" s="1877" t="s">
        <v>839</v>
      </c>
      <c r="E1" s="1877"/>
      <c r="F1" s="1877"/>
      <c r="G1" s="1877"/>
    </row>
    <row r="2" spans="1:7" ht="12">
      <c r="A2" s="153"/>
      <c r="B2" s="153"/>
      <c r="C2" s="153"/>
      <c r="D2" s="155" t="s">
        <v>227</v>
      </c>
      <c r="E2" s="1828"/>
      <c r="F2" s="1828"/>
      <c r="G2" s="1828"/>
    </row>
    <row r="3" spans="1:7" ht="12" customHeight="1">
      <c r="A3" s="153"/>
      <c r="B3" s="153"/>
      <c r="C3" s="153"/>
      <c r="D3" s="156"/>
      <c r="E3" s="1829"/>
      <c r="F3" s="1829"/>
      <c r="G3" s="1829"/>
    </row>
    <row r="4" spans="1:6" ht="12.75">
      <c r="A4" s="153"/>
      <c r="B4" s="153"/>
      <c r="C4" s="153"/>
      <c r="D4" s="157"/>
      <c r="E4" s="158"/>
      <c r="F4" s="158"/>
    </row>
    <row r="5" spans="1:7" ht="15.75">
      <c r="A5" s="1861" t="s">
        <v>888</v>
      </c>
      <c r="B5" s="1861"/>
      <c r="C5" s="1861"/>
      <c r="D5" s="1861"/>
      <c r="E5" s="1861"/>
      <c r="F5" s="1861"/>
      <c r="G5" s="1861"/>
    </row>
    <row r="6" spans="1:6" ht="30" customHeight="1">
      <c r="A6" s="1861" t="s">
        <v>228</v>
      </c>
      <c r="B6" s="1861"/>
      <c r="C6" s="1861"/>
      <c r="D6" s="1861"/>
      <c r="E6" s="1861"/>
      <c r="F6" s="158"/>
    </row>
    <row r="7" spans="1:7" ht="15.75">
      <c r="A7" s="159" t="s">
        <v>0</v>
      </c>
      <c r="B7" s="160" t="s">
        <v>1</v>
      </c>
      <c r="C7" s="161" t="s">
        <v>2</v>
      </c>
      <c r="D7" s="162" t="s">
        <v>229</v>
      </c>
      <c r="E7" s="163" t="s">
        <v>230</v>
      </c>
      <c r="F7" s="164" t="s">
        <v>341</v>
      </c>
      <c r="G7" s="582" t="s">
        <v>85</v>
      </c>
    </row>
    <row r="8" spans="1:7" ht="31.5" customHeight="1" thickBot="1">
      <c r="A8" s="165" t="s">
        <v>231</v>
      </c>
      <c r="B8" s="1856" t="s">
        <v>232</v>
      </c>
      <c r="C8" s="1856"/>
      <c r="D8" s="1856"/>
      <c r="E8" s="166">
        <f>E9+E17+E38</f>
        <v>4582344.949999999</v>
      </c>
      <c r="F8" s="166">
        <f>F9+F17+F38</f>
        <v>4522884.24</v>
      </c>
      <c r="G8" s="811">
        <f aca="true" t="shared" si="0" ref="G8:G39">F8/E8</f>
        <v>0.9870239559333046</v>
      </c>
    </row>
    <row r="9" spans="1:7" ht="24" customHeight="1">
      <c r="A9" s="167" t="s">
        <v>233</v>
      </c>
      <c r="B9" s="1862" t="s">
        <v>234</v>
      </c>
      <c r="C9" s="1862"/>
      <c r="D9" s="1862"/>
      <c r="E9" s="168">
        <f>E10</f>
        <v>2907228</v>
      </c>
      <c r="F9" s="168">
        <f>F10</f>
        <v>2907228</v>
      </c>
      <c r="G9" s="812">
        <f t="shared" si="0"/>
        <v>1</v>
      </c>
    </row>
    <row r="10" spans="1:7" ht="24">
      <c r="A10" s="169">
        <v>921</v>
      </c>
      <c r="B10" s="170"/>
      <c r="C10" s="171"/>
      <c r="D10" s="172" t="s">
        <v>235</v>
      </c>
      <c r="E10" s="173">
        <f>E11+E13+E15</f>
        <v>2907228</v>
      </c>
      <c r="F10" s="173">
        <f>F11+F13+F15</f>
        <v>2907228</v>
      </c>
      <c r="G10" s="813">
        <f t="shared" si="0"/>
        <v>1</v>
      </c>
    </row>
    <row r="11" spans="1:7" ht="12">
      <c r="A11" s="1842"/>
      <c r="B11" s="174">
        <v>92109</v>
      </c>
      <c r="C11" s="175"/>
      <c r="D11" s="176" t="s">
        <v>236</v>
      </c>
      <c r="E11" s="177">
        <f>E12</f>
        <v>2044896</v>
      </c>
      <c r="F11" s="177">
        <f>F12</f>
        <v>2044896</v>
      </c>
      <c r="G11" s="814">
        <f t="shared" si="0"/>
        <v>1</v>
      </c>
    </row>
    <row r="12" spans="1:7" ht="24">
      <c r="A12" s="1843"/>
      <c r="B12" s="178"/>
      <c r="C12" s="179">
        <v>2480</v>
      </c>
      <c r="D12" s="180" t="s">
        <v>237</v>
      </c>
      <c r="E12" s="181">
        <v>2044896</v>
      </c>
      <c r="F12" s="181">
        <v>2044896</v>
      </c>
      <c r="G12" s="815">
        <f t="shared" si="0"/>
        <v>1</v>
      </c>
    </row>
    <row r="13" spans="1:7" ht="12">
      <c r="A13" s="1843"/>
      <c r="B13" s="174">
        <v>92116</v>
      </c>
      <c r="C13" s="175"/>
      <c r="D13" s="176" t="s">
        <v>238</v>
      </c>
      <c r="E13" s="177">
        <f>E14</f>
        <v>355742</v>
      </c>
      <c r="F13" s="177">
        <f>F14</f>
        <v>355742</v>
      </c>
      <c r="G13" s="814">
        <f t="shared" si="0"/>
        <v>1</v>
      </c>
    </row>
    <row r="14" spans="1:7" ht="24">
      <c r="A14" s="1843"/>
      <c r="B14" s="178"/>
      <c r="C14" s="179">
        <v>2480</v>
      </c>
      <c r="D14" s="180" t="s">
        <v>237</v>
      </c>
      <c r="E14" s="181">
        <v>355742</v>
      </c>
      <c r="F14" s="182">
        <v>355742</v>
      </c>
      <c r="G14" s="815">
        <f t="shared" si="0"/>
        <v>1</v>
      </c>
    </row>
    <row r="15" spans="1:7" ht="12">
      <c r="A15" s="1843"/>
      <c r="B15" s="174">
        <v>92118</v>
      </c>
      <c r="C15" s="183"/>
      <c r="D15" s="184" t="s">
        <v>239</v>
      </c>
      <c r="E15" s="185">
        <f>E16</f>
        <v>506590</v>
      </c>
      <c r="F15" s="185">
        <f>F16</f>
        <v>506590</v>
      </c>
      <c r="G15" s="814">
        <f t="shared" si="0"/>
        <v>1</v>
      </c>
    </row>
    <row r="16" spans="1:7" ht="24.75" thickBot="1">
      <c r="A16" s="1844"/>
      <c r="B16" s="186"/>
      <c r="C16" s="187">
        <v>2480</v>
      </c>
      <c r="D16" s="188" t="s">
        <v>237</v>
      </c>
      <c r="E16" s="189">
        <v>506590</v>
      </c>
      <c r="F16" s="190">
        <v>506590</v>
      </c>
      <c r="G16" s="816">
        <f t="shared" si="0"/>
        <v>1</v>
      </c>
    </row>
    <row r="17" spans="1:7" ht="22.5" customHeight="1">
      <c r="A17" s="191" t="s">
        <v>103</v>
      </c>
      <c r="B17" s="1866" t="s">
        <v>240</v>
      </c>
      <c r="C17" s="1866"/>
      <c r="D17" s="1866"/>
      <c r="E17" s="192">
        <f>E18+E21+E30+E33</f>
        <v>1031529.26</v>
      </c>
      <c r="F17" s="192">
        <f>F18+F21+F30+F33</f>
        <v>986039.62</v>
      </c>
      <c r="G17" s="828">
        <f t="shared" si="0"/>
        <v>0.9559007759023723</v>
      </c>
    </row>
    <row r="18" spans="1:7" ht="12">
      <c r="A18" s="193">
        <v>600</v>
      </c>
      <c r="B18" s="194"/>
      <c r="C18" s="194"/>
      <c r="D18" s="193" t="s">
        <v>241</v>
      </c>
      <c r="E18" s="195">
        <f>E19</f>
        <v>381983.81</v>
      </c>
      <c r="F18" s="195">
        <f>F19</f>
        <v>379407.16</v>
      </c>
      <c r="G18" s="813">
        <f t="shared" si="0"/>
        <v>0.9932545570452318</v>
      </c>
    </row>
    <row r="19" spans="1:7" ht="12">
      <c r="A19" s="1881"/>
      <c r="B19" s="196">
        <v>60004</v>
      </c>
      <c r="C19" s="196"/>
      <c r="D19" s="196" t="s">
        <v>242</v>
      </c>
      <c r="E19" s="197">
        <f>E20</f>
        <v>381983.81</v>
      </c>
      <c r="F19" s="198">
        <f>F20</f>
        <v>379407.16</v>
      </c>
      <c r="G19" s="814">
        <f t="shared" si="0"/>
        <v>0.9932545570452318</v>
      </c>
    </row>
    <row r="20" spans="1:7" ht="48">
      <c r="A20" s="1882"/>
      <c r="B20" s="199"/>
      <c r="C20" s="200">
        <v>2310</v>
      </c>
      <c r="D20" s="201" t="s">
        <v>243</v>
      </c>
      <c r="E20" s="202">
        <v>381983.81</v>
      </c>
      <c r="F20" s="203">
        <v>379407.16</v>
      </c>
      <c r="G20" s="815">
        <f t="shared" si="0"/>
        <v>0.9932545570452318</v>
      </c>
    </row>
    <row r="21" spans="1:7" ht="12">
      <c r="A21" s="193">
        <v>801</v>
      </c>
      <c r="B21" s="193"/>
      <c r="C21" s="193"/>
      <c r="D21" s="205" t="s">
        <v>30</v>
      </c>
      <c r="E21" s="206">
        <f>E24+E26+E22+E28</f>
        <v>475745.45</v>
      </c>
      <c r="F21" s="206">
        <f>F24+F26+F22+F28</f>
        <v>471582.46</v>
      </c>
      <c r="G21" s="813">
        <f t="shared" si="0"/>
        <v>0.9912495432168611</v>
      </c>
    </row>
    <row r="22" spans="1:7" ht="12.75">
      <c r="A22" s="208"/>
      <c r="B22" s="209">
        <v>80101</v>
      </c>
      <c r="C22" s="210"/>
      <c r="D22" s="211" t="s">
        <v>73</v>
      </c>
      <c r="E22" s="212">
        <f>E23</f>
        <v>3250</v>
      </c>
      <c r="F22" s="212">
        <f>F23</f>
        <v>1970.15</v>
      </c>
      <c r="G22" s="814">
        <f t="shared" si="0"/>
        <v>0.6062000000000001</v>
      </c>
    </row>
    <row r="23" spans="1:7" ht="48">
      <c r="A23" s="213"/>
      <c r="B23" s="214"/>
      <c r="C23" s="215">
        <v>2310</v>
      </c>
      <c r="D23" s="216" t="s">
        <v>243</v>
      </c>
      <c r="E23" s="217">
        <v>3250</v>
      </c>
      <c r="F23" s="217">
        <v>1970.15</v>
      </c>
      <c r="G23" s="815">
        <f t="shared" si="0"/>
        <v>0.6062000000000001</v>
      </c>
    </row>
    <row r="24" spans="1:7" ht="12">
      <c r="A24" s="1870"/>
      <c r="B24" s="196">
        <v>80104</v>
      </c>
      <c r="C24" s="196"/>
      <c r="D24" s="218" t="s">
        <v>77</v>
      </c>
      <c r="E24" s="219">
        <f>E25</f>
        <v>48000</v>
      </c>
      <c r="F24" s="219">
        <f>F25</f>
        <v>45116.86</v>
      </c>
      <c r="G24" s="814">
        <f t="shared" si="0"/>
        <v>0.9399345833333334</v>
      </c>
    </row>
    <row r="25" spans="1:7" ht="48">
      <c r="A25" s="1870"/>
      <c r="B25" s="220"/>
      <c r="C25" s="200">
        <v>2310</v>
      </c>
      <c r="D25" s="201" t="s">
        <v>243</v>
      </c>
      <c r="E25" s="202">
        <v>48000</v>
      </c>
      <c r="F25" s="203">
        <v>45116.86</v>
      </c>
      <c r="G25" s="817">
        <f t="shared" si="0"/>
        <v>0.9399345833333334</v>
      </c>
    </row>
    <row r="26" spans="1:7" ht="12">
      <c r="A26" s="1870"/>
      <c r="B26" s="174">
        <v>80110</v>
      </c>
      <c r="C26" s="175"/>
      <c r="D26" s="176" t="s">
        <v>244</v>
      </c>
      <c r="E26" s="177">
        <f>E27</f>
        <v>424495.45</v>
      </c>
      <c r="F26" s="177">
        <f>F27</f>
        <v>424495.45</v>
      </c>
      <c r="G26" s="814">
        <f t="shared" si="0"/>
        <v>1</v>
      </c>
    </row>
    <row r="27" spans="1:7" ht="48">
      <c r="A27" s="1870"/>
      <c r="B27" s="221"/>
      <c r="C27" s="222">
        <v>2320</v>
      </c>
      <c r="D27" s="201" t="s">
        <v>245</v>
      </c>
      <c r="E27" s="223">
        <v>424495.45</v>
      </c>
      <c r="F27" s="182">
        <v>424495.45</v>
      </c>
      <c r="G27" s="817">
        <f t="shared" si="0"/>
        <v>1</v>
      </c>
    </row>
    <row r="28" spans="1:7" ht="12">
      <c r="A28" s="224"/>
      <c r="B28" s="225">
        <v>80195</v>
      </c>
      <c r="C28" s="226"/>
      <c r="D28" s="227" t="s">
        <v>10</v>
      </c>
      <c r="E28" s="228">
        <f>E29</f>
        <v>0</v>
      </c>
      <c r="F28" s="229">
        <f>F29</f>
        <v>0</v>
      </c>
      <c r="G28" s="814" t="e">
        <f t="shared" si="0"/>
        <v>#DIV/0!</v>
      </c>
    </row>
    <row r="29" spans="1:7" ht="48">
      <c r="A29" s="230"/>
      <c r="B29" s="231"/>
      <c r="C29" s="232">
        <v>2710</v>
      </c>
      <c r="D29" s="216" t="s">
        <v>246</v>
      </c>
      <c r="E29" s="233">
        <v>0</v>
      </c>
      <c r="F29" s="234">
        <v>0</v>
      </c>
      <c r="G29" s="817" t="e">
        <f t="shared" si="0"/>
        <v>#DIV/0!</v>
      </c>
    </row>
    <row r="30" spans="1:7" ht="12">
      <c r="A30" s="169">
        <v>851</v>
      </c>
      <c r="B30" s="170"/>
      <c r="C30" s="171"/>
      <c r="D30" s="235" t="s">
        <v>247</v>
      </c>
      <c r="E30" s="236">
        <f>E31</f>
        <v>23800</v>
      </c>
      <c r="F30" s="236">
        <f>F31</f>
        <v>23800</v>
      </c>
      <c r="G30" s="813">
        <f t="shared" si="0"/>
        <v>1</v>
      </c>
    </row>
    <row r="31" spans="1:7" ht="12">
      <c r="A31" s="237"/>
      <c r="B31" s="238">
        <v>85154</v>
      </c>
      <c r="C31" s="239"/>
      <c r="D31" s="240" t="s">
        <v>248</v>
      </c>
      <c r="E31" s="241">
        <f>SUM(E32:E32)</f>
        <v>23800</v>
      </c>
      <c r="F31" s="241">
        <f>SUM(F32:F32)</f>
        <v>23800</v>
      </c>
      <c r="G31" s="814">
        <f t="shared" si="0"/>
        <v>1</v>
      </c>
    </row>
    <row r="32" spans="1:7" ht="48">
      <c r="A32" s="242"/>
      <c r="B32" s="243"/>
      <c r="C32" s="244">
        <v>2710</v>
      </c>
      <c r="D32" s="216" t="s">
        <v>246</v>
      </c>
      <c r="E32" s="245">
        <v>23800</v>
      </c>
      <c r="F32" s="234">
        <v>23800</v>
      </c>
      <c r="G32" s="817">
        <f t="shared" si="0"/>
        <v>1</v>
      </c>
    </row>
    <row r="33" spans="1:7" ht="24">
      <c r="A33" s="246">
        <v>900</v>
      </c>
      <c r="B33" s="247"/>
      <c r="C33" s="248"/>
      <c r="D33" s="249" t="s">
        <v>249</v>
      </c>
      <c r="E33" s="250">
        <f>E34+E36</f>
        <v>150000</v>
      </c>
      <c r="F33" s="250">
        <f>F34+F36</f>
        <v>111250</v>
      </c>
      <c r="G33" s="813">
        <f t="shared" si="0"/>
        <v>0.7416666666666667</v>
      </c>
    </row>
    <row r="34" spans="1:7" ht="24">
      <c r="A34" s="1885"/>
      <c r="B34" s="251">
        <v>90026</v>
      </c>
      <c r="C34" s="252"/>
      <c r="D34" s="253" t="s">
        <v>950</v>
      </c>
      <c r="E34" s="254">
        <f>E35</f>
        <v>30000</v>
      </c>
      <c r="F34" s="254">
        <f>F35</f>
        <v>0</v>
      </c>
      <c r="G34" s="814">
        <f t="shared" si="0"/>
        <v>0</v>
      </c>
    </row>
    <row r="35" spans="1:7" ht="48">
      <c r="A35" s="1885"/>
      <c r="B35" s="255"/>
      <c r="C35" s="256">
        <v>2320</v>
      </c>
      <c r="D35" s="257" t="s">
        <v>251</v>
      </c>
      <c r="E35" s="258">
        <v>30000</v>
      </c>
      <c r="F35" s="234">
        <v>0</v>
      </c>
      <c r="G35" s="817">
        <f t="shared" si="0"/>
        <v>0</v>
      </c>
    </row>
    <row r="36" spans="1:7" ht="12">
      <c r="A36" s="1885"/>
      <c r="B36" s="259">
        <v>90013</v>
      </c>
      <c r="C36" s="260"/>
      <c r="D36" s="240" t="s">
        <v>252</v>
      </c>
      <c r="E36" s="241">
        <f>E37</f>
        <v>120000</v>
      </c>
      <c r="F36" s="241">
        <f>F37</f>
        <v>111250</v>
      </c>
      <c r="G36" s="814">
        <f t="shared" si="0"/>
        <v>0.9270833333333334</v>
      </c>
    </row>
    <row r="37" spans="1:7" ht="48">
      <c r="A37" s="1859"/>
      <c r="B37" s="243"/>
      <c r="C37" s="261">
        <v>2310</v>
      </c>
      <c r="D37" s="216" t="s">
        <v>243</v>
      </c>
      <c r="E37" s="245">
        <v>120000</v>
      </c>
      <c r="F37" s="182">
        <v>111250</v>
      </c>
      <c r="G37" s="817">
        <f t="shared" si="0"/>
        <v>0.9270833333333334</v>
      </c>
    </row>
    <row r="38" spans="1:7" s="827" customFormat="1" ht="24.75" customHeight="1">
      <c r="A38" s="825" t="s">
        <v>104</v>
      </c>
      <c r="B38" s="1873" t="s">
        <v>253</v>
      </c>
      <c r="C38" s="1873"/>
      <c r="D38" s="1874"/>
      <c r="E38" s="826">
        <f>E39+E42</f>
        <v>643587.69</v>
      </c>
      <c r="F38" s="826">
        <f>F39+F42</f>
        <v>629616.62</v>
      </c>
      <c r="G38" s="819">
        <f t="shared" si="0"/>
        <v>0.978291893681186</v>
      </c>
    </row>
    <row r="39" spans="1:7" ht="12">
      <c r="A39" s="262">
        <v>700</v>
      </c>
      <c r="B39" s="263"/>
      <c r="C39" s="264"/>
      <c r="D39" s="265" t="s">
        <v>69</v>
      </c>
      <c r="E39" s="266">
        <f>E40</f>
        <v>493587.69</v>
      </c>
      <c r="F39" s="266">
        <f>F40</f>
        <v>479616.62</v>
      </c>
      <c r="G39" s="813">
        <f t="shared" si="0"/>
        <v>0.9716948573008375</v>
      </c>
    </row>
    <row r="40" spans="1:7" ht="12">
      <c r="A40" s="1851"/>
      <c r="B40" s="267">
        <v>70001</v>
      </c>
      <c r="C40" s="268"/>
      <c r="D40" s="269" t="s">
        <v>254</v>
      </c>
      <c r="E40" s="270">
        <f>E41</f>
        <v>493587.69</v>
      </c>
      <c r="F40" s="270">
        <f>F41</f>
        <v>479616.62</v>
      </c>
      <c r="G40" s="814">
        <f aca="true" t="shared" si="1" ref="G40:G57">F40/E40</f>
        <v>0.9716948573008375</v>
      </c>
    </row>
    <row r="41" spans="1:7" ht="24">
      <c r="A41" s="1852"/>
      <c r="B41" s="271"/>
      <c r="C41" s="272">
        <v>2650</v>
      </c>
      <c r="D41" s="273" t="s">
        <v>255</v>
      </c>
      <c r="E41" s="274">
        <v>493587.69</v>
      </c>
      <c r="F41" s="182">
        <v>479616.62</v>
      </c>
      <c r="G41" s="817">
        <f t="shared" si="1"/>
        <v>0.9716948573008375</v>
      </c>
    </row>
    <row r="42" spans="1:7" ht="12">
      <c r="A42" s="169">
        <v>852</v>
      </c>
      <c r="B42" s="170"/>
      <c r="C42" s="171"/>
      <c r="D42" s="172" t="s">
        <v>33</v>
      </c>
      <c r="E42" s="173">
        <f>E43</f>
        <v>150000</v>
      </c>
      <c r="F42" s="173">
        <f>F43</f>
        <v>150000</v>
      </c>
      <c r="G42" s="813">
        <f t="shared" si="1"/>
        <v>1</v>
      </c>
    </row>
    <row r="43" spans="1:7" ht="12">
      <c r="A43" s="237"/>
      <c r="B43" s="275">
        <v>85232</v>
      </c>
      <c r="C43" s="175"/>
      <c r="D43" s="176" t="s">
        <v>256</v>
      </c>
      <c r="E43" s="177">
        <f>E44</f>
        <v>150000</v>
      </c>
      <c r="F43" s="177">
        <f>F44</f>
        <v>150000</v>
      </c>
      <c r="G43" s="814">
        <f t="shared" si="1"/>
        <v>1</v>
      </c>
    </row>
    <row r="44" spans="1:7" ht="24">
      <c r="A44" s="276"/>
      <c r="B44" s="221"/>
      <c r="C44" s="222">
        <v>2650</v>
      </c>
      <c r="D44" s="273" t="s">
        <v>255</v>
      </c>
      <c r="E44" s="223">
        <v>150000</v>
      </c>
      <c r="F44" s="182">
        <v>150000</v>
      </c>
      <c r="G44" s="817">
        <f t="shared" si="1"/>
        <v>1</v>
      </c>
    </row>
    <row r="45" spans="1:7" ht="33" customHeight="1" thickBot="1">
      <c r="A45" s="165" t="s">
        <v>257</v>
      </c>
      <c r="B45" s="1856" t="s">
        <v>258</v>
      </c>
      <c r="C45" s="1856"/>
      <c r="D45" s="1856"/>
      <c r="E45" s="166">
        <f>E46+E54</f>
        <v>2381500</v>
      </c>
      <c r="F45" s="166">
        <f>F46+F54</f>
        <v>2118521.37</v>
      </c>
      <c r="G45" s="823">
        <f t="shared" si="1"/>
        <v>0.8895743732941424</v>
      </c>
    </row>
    <row r="46" spans="1:7" ht="24" customHeight="1">
      <c r="A46" s="277" t="s">
        <v>101</v>
      </c>
      <c r="B46" s="1845" t="s">
        <v>234</v>
      </c>
      <c r="C46" s="1845"/>
      <c r="D46" s="1845"/>
      <c r="E46" s="168">
        <f>E47</f>
        <v>1792000</v>
      </c>
      <c r="F46" s="168">
        <f>F47</f>
        <v>1551221.37</v>
      </c>
      <c r="G46" s="824">
        <f t="shared" si="1"/>
        <v>0.8656369252232143</v>
      </c>
    </row>
    <row r="47" spans="1:7" ht="12">
      <c r="A47" s="278">
        <v>801</v>
      </c>
      <c r="B47" s="170"/>
      <c r="C47" s="171"/>
      <c r="D47" s="172" t="s">
        <v>30</v>
      </c>
      <c r="E47" s="236">
        <f>E48+E50+E52</f>
        <v>1792000</v>
      </c>
      <c r="F47" s="236">
        <f>F48+F50+F52</f>
        <v>1551221.37</v>
      </c>
      <c r="G47" s="813">
        <f t="shared" si="1"/>
        <v>0.8656369252232143</v>
      </c>
    </row>
    <row r="48" spans="1:7" ht="12">
      <c r="A48" s="1878"/>
      <c r="B48" s="174">
        <v>80104</v>
      </c>
      <c r="C48" s="175"/>
      <c r="D48" s="176" t="s">
        <v>77</v>
      </c>
      <c r="E48" s="177">
        <f>E49</f>
        <v>1552000</v>
      </c>
      <c r="F48" s="177">
        <f>F49</f>
        <v>1349964.01</v>
      </c>
      <c r="G48" s="814">
        <f t="shared" si="1"/>
        <v>0.8698221713917526</v>
      </c>
    </row>
    <row r="49" spans="1:7" ht="24">
      <c r="A49" s="1879"/>
      <c r="B49" s="279"/>
      <c r="C49" s="179">
        <v>2540</v>
      </c>
      <c r="D49" s="180" t="s">
        <v>259</v>
      </c>
      <c r="E49" s="181">
        <v>1552000</v>
      </c>
      <c r="F49" s="182">
        <v>1349964.01</v>
      </c>
      <c r="G49" s="817">
        <f t="shared" si="1"/>
        <v>0.8698221713917526</v>
      </c>
    </row>
    <row r="50" spans="1:7" ht="12">
      <c r="A50" s="1879"/>
      <c r="B50" s="174">
        <v>80110</v>
      </c>
      <c r="C50" s="175"/>
      <c r="D50" s="176" t="s">
        <v>244</v>
      </c>
      <c r="E50" s="177">
        <f>E51</f>
        <v>240000</v>
      </c>
      <c r="F50" s="177">
        <f>F51</f>
        <v>201257.36</v>
      </c>
      <c r="G50" s="814">
        <f t="shared" si="1"/>
        <v>0.8385723333333333</v>
      </c>
    </row>
    <row r="51" spans="1:7" ht="24">
      <c r="A51" s="1879"/>
      <c r="B51" s="279"/>
      <c r="C51" s="179">
        <v>2540</v>
      </c>
      <c r="D51" s="180" t="s">
        <v>259</v>
      </c>
      <c r="E51" s="181">
        <v>240000</v>
      </c>
      <c r="F51" s="182">
        <v>201257.36</v>
      </c>
      <c r="G51" s="817">
        <f t="shared" si="1"/>
        <v>0.8385723333333333</v>
      </c>
    </row>
    <row r="52" spans="1:7" ht="72">
      <c r="A52" s="1879"/>
      <c r="B52" s="174">
        <v>80149</v>
      </c>
      <c r="C52" s="175"/>
      <c r="D52" s="176" t="s">
        <v>260</v>
      </c>
      <c r="E52" s="177">
        <f>E53</f>
        <v>0</v>
      </c>
      <c r="F52" s="177">
        <f>F53</f>
        <v>0</v>
      </c>
      <c r="G52" s="814" t="e">
        <f t="shared" si="1"/>
        <v>#DIV/0!</v>
      </c>
    </row>
    <row r="53" spans="1:7" ht="24">
      <c r="A53" s="1880"/>
      <c r="B53" s="279"/>
      <c r="C53" s="179">
        <v>2540</v>
      </c>
      <c r="D53" s="180" t="s">
        <v>259</v>
      </c>
      <c r="E53" s="181">
        <v>0</v>
      </c>
      <c r="F53" s="182">
        <v>0</v>
      </c>
      <c r="G53" s="817" t="e">
        <f t="shared" si="1"/>
        <v>#DIV/0!</v>
      </c>
    </row>
    <row r="54" spans="1:7" ht="27" customHeight="1">
      <c r="A54" s="280" t="s">
        <v>103</v>
      </c>
      <c r="B54" s="1886" t="s">
        <v>261</v>
      </c>
      <c r="C54" s="1886"/>
      <c r="D54" s="1886"/>
      <c r="E54" s="281">
        <f>E55+E61+E73+E81+E86+E66+E78+E58</f>
        <v>589500</v>
      </c>
      <c r="F54" s="281">
        <f>F55+F61+F73+F81+F86+F66+F78+F58</f>
        <v>567300</v>
      </c>
      <c r="G54" s="820">
        <f t="shared" si="1"/>
        <v>0.9623409669211196</v>
      </c>
    </row>
    <row r="55" spans="1:7" ht="12">
      <c r="A55" s="282" t="s">
        <v>7</v>
      </c>
      <c r="B55" s="170"/>
      <c r="C55" s="171"/>
      <c r="D55" s="172" t="s">
        <v>8</v>
      </c>
      <c r="E55" s="173">
        <f>E56</f>
        <v>20000</v>
      </c>
      <c r="F55" s="173">
        <f>F56</f>
        <v>20000</v>
      </c>
      <c r="G55" s="813">
        <f t="shared" si="1"/>
        <v>1</v>
      </c>
    </row>
    <row r="56" spans="1:7" ht="12">
      <c r="A56" s="1883"/>
      <c r="B56" s="283" t="s">
        <v>262</v>
      </c>
      <c r="C56" s="175"/>
      <c r="D56" s="176" t="s">
        <v>263</v>
      </c>
      <c r="E56" s="177">
        <f>E57</f>
        <v>20000</v>
      </c>
      <c r="F56" s="177">
        <f>F57</f>
        <v>20000</v>
      </c>
      <c r="G56" s="814">
        <f t="shared" si="1"/>
        <v>1</v>
      </c>
    </row>
    <row r="57" spans="1:7" ht="60">
      <c r="A57" s="1884"/>
      <c r="B57" s="243"/>
      <c r="C57" s="222">
        <v>2830</v>
      </c>
      <c r="D57" s="201" t="s">
        <v>264</v>
      </c>
      <c r="E57" s="223">
        <v>20000</v>
      </c>
      <c r="F57" s="182">
        <v>20000</v>
      </c>
      <c r="G57" s="817">
        <f t="shared" si="1"/>
        <v>1</v>
      </c>
    </row>
    <row r="58" spans="1:7" ht="12">
      <c r="A58" s="193">
        <v>600</v>
      </c>
      <c r="B58" s="194"/>
      <c r="C58" s="194"/>
      <c r="D58" s="193" t="s">
        <v>241</v>
      </c>
      <c r="E58" s="321">
        <f>E59</f>
        <v>0</v>
      </c>
      <c r="F58" s="321">
        <f>F59</f>
        <v>0</v>
      </c>
      <c r="G58" s="813">
        <v>0</v>
      </c>
    </row>
    <row r="59" spans="1:7" ht="12">
      <c r="A59" s="1846"/>
      <c r="B59" s="196">
        <v>60004</v>
      </c>
      <c r="C59" s="196"/>
      <c r="D59" s="196" t="s">
        <v>242</v>
      </c>
      <c r="E59" s="270">
        <f>E60</f>
        <v>0</v>
      </c>
      <c r="F59" s="270">
        <f>F60</f>
        <v>0</v>
      </c>
      <c r="G59" s="814">
        <v>0</v>
      </c>
    </row>
    <row r="60" spans="1:7" ht="36">
      <c r="A60" s="1847"/>
      <c r="B60" s="271"/>
      <c r="C60" s="284">
        <v>2820</v>
      </c>
      <c r="D60" s="285" t="s">
        <v>265</v>
      </c>
      <c r="E60" s="274">
        <v>0</v>
      </c>
      <c r="F60" s="182">
        <v>0</v>
      </c>
      <c r="G60" s="817">
        <v>0</v>
      </c>
    </row>
    <row r="61" spans="1:7" ht="24">
      <c r="A61" s="286">
        <v>754</v>
      </c>
      <c r="B61" s="286"/>
      <c r="C61" s="286"/>
      <c r="D61" s="287" t="s">
        <v>266</v>
      </c>
      <c r="E61" s="288">
        <f>E62+E64</f>
        <v>120000</v>
      </c>
      <c r="F61" s="288">
        <f>F62+F64</f>
        <v>120000</v>
      </c>
      <c r="G61" s="829">
        <f aca="true" t="shared" si="2" ref="G61:G89">F61/E61</f>
        <v>1</v>
      </c>
    </row>
    <row r="62" spans="1:7" ht="12">
      <c r="A62" s="1848"/>
      <c r="B62" s="196">
        <v>75412</v>
      </c>
      <c r="C62" s="196"/>
      <c r="D62" s="289" t="s">
        <v>267</v>
      </c>
      <c r="E62" s="219">
        <f>E63</f>
        <v>30000</v>
      </c>
      <c r="F62" s="219">
        <f>F63</f>
        <v>30000</v>
      </c>
      <c r="G62" s="814">
        <f t="shared" si="2"/>
        <v>1</v>
      </c>
    </row>
    <row r="63" spans="1:7" ht="36">
      <c r="A63" s="1849"/>
      <c r="B63" s="290"/>
      <c r="C63" s="291">
        <v>2820</v>
      </c>
      <c r="D63" s="292" t="s">
        <v>265</v>
      </c>
      <c r="E63" s="293">
        <v>30000</v>
      </c>
      <c r="F63" s="293">
        <v>30000</v>
      </c>
      <c r="G63" s="817">
        <f t="shared" si="2"/>
        <v>1</v>
      </c>
    </row>
    <row r="64" spans="1:7" ht="12">
      <c r="A64" s="1849"/>
      <c r="B64" s="196">
        <v>75415</v>
      </c>
      <c r="C64" s="267"/>
      <c r="D64" s="227" t="s">
        <v>268</v>
      </c>
      <c r="E64" s="212">
        <f>E65</f>
        <v>90000</v>
      </c>
      <c r="F64" s="212">
        <f>F65</f>
        <v>90000</v>
      </c>
      <c r="G64" s="814">
        <f t="shared" si="2"/>
        <v>1</v>
      </c>
    </row>
    <row r="65" spans="1:7" ht="72">
      <c r="A65" s="1849"/>
      <c r="B65" s="290"/>
      <c r="C65" s="291">
        <v>2360</v>
      </c>
      <c r="D65" s="294" t="s">
        <v>269</v>
      </c>
      <c r="E65" s="295">
        <v>90000</v>
      </c>
      <c r="F65" s="296">
        <v>90000</v>
      </c>
      <c r="G65" s="817">
        <f t="shared" si="2"/>
        <v>1</v>
      </c>
    </row>
    <row r="66" spans="1:7" ht="12.75">
      <c r="A66" s="297">
        <v>801</v>
      </c>
      <c r="B66" s="193"/>
      <c r="C66" s="262"/>
      <c r="D66" s="265" t="s">
        <v>30</v>
      </c>
      <c r="E66" s="195">
        <f>E67+E69</f>
        <v>26500</v>
      </c>
      <c r="F66" s="195">
        <f>F67+F69</f>
        <v>26500</v>
      </c>
      <c r="G66" s="813">
        <f t="shared" si="2"/>
        <v>1</v>
      </c>
    </row>
    <row r="67" spans="1:7" s="299" customFormat="1" ht="51">
      <c r="A67" s="213"/>
      <c r="B67" s="209">
        <v>80153</v>
      </c>
      <c r="C67" s="298"/>
      <c r="D67" s="13" t="s">
        <v>31</v>
      </c>
      <c r="E67" s="212">
        <f>E68</f>
        <v>0</v>
      </c>
      <c r="F67" s="212">
        <f>F68</f>
        <v>0</v>
      </c>
      <c r="G67" s="814" t="e">
        <f t="shared" si="2"/>
        <v>#DIV/0!</v>
      </c>
    </row>
    <row r="68" spans="1:7" s="299" customFormat="1" ht="36">
      <c r="A68" s="213"/>
      <c r="B68" s="214"/>
      <c r="C68" s="291">
        <v>2820</v>
      </c>
      <c r="D68" s="292" t="s">
        <v>265</v>
      </c>
      <c r="E68" s="300">
        <v>0</v>
      </c>
      <c r="F68" s="300">
        <v>0</v>
      </c>
      <c r="G68" s="817" t="e">
        <f t="shared" si="2"/>
        <v>#DIV/0!</v>
      </c>
    </row>
    <row r="69" spans="1:7" ht="12.75">
      <c r="A69" s="301"/>
      <c r="B69" s="302">
        <v>80195</v>
      </c>
      <c r="C69" s="267"/>
      <c r="D69" s="227" t="s">
        <v>10</v>
      </c>
      <c r="E69" s="212">
        <f>E70+E71+E72</f>
        <v>26500</v>
      </c>
      <c r="F69" s="212">
        <f>F70+F71+F72</f>
        <v>26500</v>
      </c>
      <c r="G69" s="814">
        <f t="shared" si="2"/>
        <v>1</v>
      </c>
    </row>
    <row r="70" spans="1:7" ht="96">
      <c r="A70" s="301"/>
      <c r="B70" s="303"/>
      <c r="C70" s="284">
        <v>2007</v>
      </c>
      <c r="D70" s="273" t="s">
        <v>270</v>
      </c>
      <c r="E70" s="304">
        <v>0</v>
      </c>
      <c r="F70" s="204">
        <v>0</v>
      </c>
      <c r="G70" s="817" t="e">
        <f t="shared" si="2"/>
        <v>#DIV/0!</v>
      </c>
    </row>
    <row r="71" spans="1:7" ht="96">
      <c r="A71" s="301"/>
      <c r="B71" s="303"/>
      <c r="C71" s="284">
        <v>2009</v>
      </c>
      <c r="D71" s="273" t="s">
        <v>270</v>
      </c>
      <c r="E71" s="304">
        <v>0</v>
      </c>
      <c r="F71" s="204">
        <v>0</v>
      </c>
      <c r="G71" s="817" t="e">
        <f t="shared" si="2"/>
        <v>#DIV/0!</v>
      </c>
    </row>
    <row r="72" spans="1:7" ht="72">
      <c r="A72" s="305"/>
      <c r="B72" s="306"/>
      <c r="C72" s="284">
        <v>2360</v>
      </c>
      <c r="D72" s="273" t="s">
        <v>269</v>
      </c>
      <c r="E72" s="304">
        <v>26500</v>
      </c>
      <c r="F72" s="204">
        <v>26500</v>
      </c>
      <c r="G72" s="817">
        <f t="shared" si="2"/>
        <v>1</v>
      </c>
    </row>
    <row r="73" spans="1:7" ht="12">
      <c r="A73" s="307">
        <v>851</v>
      </c>
      <c r="B73" s="308"/>
      <c r="C73" s="309"/>
      <c r="D73" s="235" t="s">
        <v>247</v>
      </c>
      <c r="E73" s="236">
        <f>E74+E76</f>
        <v>48000</v>
      </c>
      <c r="F73" s="236">
        <f>F74+F76</f>
        <v>42100</v>
      </c>
      <c r="G73" s="813">
        <f t="shared" si="2"/>
        <v>0.8770833333333333</v>
      </c>
    </row>
    <row r="74" spans="1:7" ht="12">
      <c r="A74" s="310"/>
      <c r="B74" s="311">
        <v>85154</v>
      </c>
      <c r="C74" s="175"/>
      <c r="D74" s="176" t="s">
        <v>248</v>
      </c>
      <c r="E74" s="177">
        <f>E75</f>
        <v>38000</v>
      </c>
      <c r="F74" s="177">
        <f>F75</f>
        <v>32100</v>
      </c>
      <c r="G74" s="814">
        <f t="shared" si="2"/>
        <v>0.8447368421052631</v>
      </c>
    </row>
    <row r="75" spans="1:7" ht="80.25" customHeight="1">
      <c r="A75" s="312"/>
      <c r="B75" s="231"/>
      <c r="C75" s="313">
        <v>2360</v>
      </c>
      <c r="D75" s="294" t="s">
        <v>269</v>
      </c>
      <c r="E75" s="189">
        <v>38000</v>
      </c>
      <c r="F75" s="182">
        <v>32100</v>
      </c>
      <c r="G75" s="817">
        <f t="shared" si="2"/>
        <v>0.8447368421052631</v>
      </c>
    </row>
    <row r="76" spans="1:7" ht="12">
      <c r="A76" s="314"/>
      <c r="B76" s="267">
        <v>85195</v>
      </c>
      <c r="C76" s="268"/>
      <c r="D76" s="227" t="s">
        <v>10</v>
      </c>
      <c r="E76" s="270">
        <f>E77</f>
        <v>10000</v>
      </c>
      <c r="F76" s="270">
        <f>F77</f>
        <v>10000</v>
      </c>
      <c r="G76" s="814">
        <f t="shared" si="2"/>
        <v>1</v>
      </c>
    </row>
    <row r="77" spans="1:7" ht="78.75" customHeight="1">
      <c r="A77" s="314"/>
      <c r="B77" s="315"/>
      <c r="C77" s="316">
        <v>2360</v>
      </c>
      <c r="D77" s="317" t="s">
        <v>269</v>
      </c>
      <c r="E77" s="318">
        <v>10000</v>
      </c>
      <c r="F77" s="234">
        <v>10000</v>
      </c>
      <c r="G77" s="817">
        <f t="shared" si="2"/>
        <v>1</v>
      </c>
    </row>
    <row r="78" spans="1:7" ht="24">
      <c r="A78" s="262">
        <v>853</v>
      </c>
      <c r="B78" s="319"/>
      <c r="C78" s="320"/>
      <c r="D78" s="265" t="s">
        <v>271</v>
      </c>
      <c r="E78" s="321">
        <f>E79</f>
        <v>14000</v>
      </c>
      <c r="F78" s="321">
        <f>F79</f>
        <v>11100</v>
      </c>
      <c r="G78" s="813">
        <f t="shared" si="2"/>
        <v>0.7928571428571428</v>
      </c>
    </row>
    <row r="79" spans="1:7" ht="12">
      <c r="A79" s="1875"/>
      <c r="B79" s="267">
        <v>85395</v>
      </c>
      <c r="C79" s="268"/>
      <c r="D79" s="227" t="s">
        <v>10</v>
      </c>
      <c r="E79" s="270">
        <f>E80</f>
        <v>14000</v>
      </c>
      <c r="F79" s="270">
        <f>F80</f>
        <v>11100</v>
      </c>
      <c r="G79" s="814">
        <f t="shared" si="2"/>
        <v>0.7928571428571428</v>
      </c>
    </row>
    <row r="80" spans="1:7" ht="78.75" customHeight="1">
      <c r="A80" s="1876"/>
      <c r="B80" s="271"/>
      <c r="C80" s="222">
        <v>2360</v>
      </c>
      <c r="D80" s="201" t="s">
        <v>269</v>
      </c>
      <c r="E80" s="274">
        <v>14000</v>
      </c>
      <c r="F80" s="182">
        <v>11100</v>
      </c>
      <c r="G80" s="817">
        <f t="shared" si="2"/>
        <v>0.7928571428571428</v>
      </c>
    </row>
    <row r="81" spans="1:7" ht="24">
      <c r="A81" s="840">
        <v>921</v>
      </c>
      <c r="B81" s="841"/>
      <c r="C81" s="842"/>
      <c r="D81" s="843" t="s">
        <v>235</v>
      </c>
      <c r="E81" s="844">
        <f>E84+E82</f>
        <v>126000</v>
      </c>
      <c r="F81" s="844">
        <f>F84+F82</f>
        <v>125700</v>
      </c>
      <c r="G81" s="845">
        <f t="shared" si="2"/>
        <v>0.9976190476190476</v>
      </c>
    </row>
    <row r="82" spans="1:7" ht="12">
      <c r="A82" s="322"/>
      <c r="B82" s="323">
        <v>92105</v>
      </c>
      <c r="C82" s="324"/>
      <c r="D82" s="325" t="s">
        <v>272</v>
      </c>
      <c r="E82" s="326">
        <f>E83</f>
        <v>26000</v>
      </c>
      <c r="F82" s="326">
        <f>F83</f>
        <v>25700</v>
      </c>
      <c r="G82" s="814">
        <f t="shared" si="2"/>
        <v>0.9884615384615385</v>
      </c>
    </row>
    <row r="83" spans="1:7" ht="72">
      <c r="A83" s="327"/>
      <c r="B83" s="328"/>
      <c r="C83" s="179">
        <v>2360</v>
      </c>
      <c r="D83" s="180" t="s">
        <v>269</v>
      </c>
      <c r="E83" s="329">
        <v>26000</v>
      </c>
      <c r="F83" s="182">
        <v>25700</v>
      </c>
      <c r="G83" s="817">
        <f t="shared" si="2"/>
        <v>0.9884615384615385</v>
      </c>
    </row>
    <row r="84" spans="1:7" ht="12">
      <c r="A84" s="327"/>
      <c r="B84" s="225">
        <v>92120</v>
      </c>
      <c r="C84" s="330"/>
      <c r="D84" s="331" t="s">
        <v>273</v>
      </c>
      <c r="E84" s="326">
        <f>E85</f>
        <v>100000</v>
      </c>
      <c r="F84" s="326">
        <f>F85</f>
        <v>100000</v>
      </c>
      <c r="G84" s="814">
        <f t="shared" si="2"/>
        <v>1</v>
      </c>
    </row>
    <row r="85" spans="1:7" ht="72">
      <c r="A85" s="332"/>
      <c r="B85" s="231"/>
      <c r="C85" s="316">
        <v>2720</v>
      </c>
      <c r="D85" s="317" t="s">
        <v>274</v>
      </c>
      <c r="E85" s="333">
        <v>100000</v>
      </c>
      <c r="F85" s="182">
        <v>100000</v>
      </c>
      <c r="G85" s="817">
        <f t="shared" si="2"/>
        <v>1</v>
      </c>
    </row>
    <row r="86" spans="1:7" ht="12">
      <c r="A86" s="169">
        <v>926</v>
      </c>
      <c r="B86" s="334"/>
      <c r="C86" s="335"/>
      <c r="D86" s="336" t="s">
        <v>275</v>
      </c>
      <c r="E86" s="337">
        <f>E87</f>
        <v>235000</v>
      </c>
      <c r="F86" s="337">
        <f>F87</f>
        <v>221900</v>
      </c>
      <c r="G86" s="813">
        <f t="shared" si="2"/>
        <v>0.9442553191489361</v>
      </c>
    </row>
    <row r="87" spans="1:7" ht="12">
      <c r="A87" s="242"/>
      <c r="B87" s="311">
        <v>92695</v>
      </c>
      <c r="C87" s="338"/>
      <c r="D87" s="339" t="s">
        <v>10</v>
      </c>
      <c r="E87" s="340">
        <f>E88</f>
        <v>235000</v>
      </c>
      <c r="F87" s="340">
        <f>F88</f>
        <v>221900</v>
      </c>
      <c r="G87" s="814">
        <f t="shared" si="2"/>
        <v>0.9442553191489361</v>
      </c>
    </row>
    <row r="88" spans="1:7" ht="72.75" thickBot="1">
      <c r="A88" s="341"/>
      <c r="B88" s="342"/>
      <c r="C88" s="179">
        <v>2360</v>
      </c>
      <c r="D88" s="180" t="s">
        <v>269</v>
      </c>
      <c r="E88" s="181">
        <v>235000</v>
      </c>
      <c r="F88" s="182">
        <v>221900</v>
      </c>
      <c r="G88" s="817">
        <f t="shared" si="2"/>
        <v>0.9442553191489361</v>
      </c>
    </row>
    <row r="89" spans="1:7" ht="23.25" customHeight="1" thickBot="1">
      <c r="A89" s="1867" t="s">
        <v>226</v>
      </c>
      <c r="B89" s="1868"/>
      <c r="C89" s="1868"/>
      <c r="D89" s="1869"/>
      <c r="E89" s="343">
        <f>E45+E8</f>
        <v>6963844.949999999</v>
      </c>
      <c r="F89" s="343">
        <f>F45+F8</f>
        <v>6641405.61</v>
      </c>
      <c r="G89" s="818">
        <f t="shared" si="2"/>
        <v>0.9536980874337245</v>
      </c>
    </row>
    <row r="90" spans="1:7" ht="36.75" customHeight="1">
      <c r="A90" s="1871" t="s">
        <v>276</v>
      </c>
      <c r="B90" s="1871"/>
      <c r="C90" s="1871"/>
      <c r="D90" s="1871"/>
      <c r="E90" s="1871"/>
      <c r="F90" s="1871"/>
      <c r="G90" s="1872"/>
    </row>
    <row r="91" spans="1:7" ht="24">
      <c r="A91" s="344" t="s">
        <v>0</v>
      </c>
      <c r="B91" s="345" t="s">
        <v>1</v>
      </c>
      <c r="C91" s="346" t="s">
        <v>2</v>
      </c>
      <c r="D91" s="347" t="s">
        <v>229</v>
      </c>
      <c r="E91" s="348" t="s">
        <v>277</v>
      </c>
      <c r="F91" s="349" t="s">
        <v>341</v>
      </c>
      <c r="G91" s="582" t="s">
        <v>85</v>
      </c>
    </row>
    <row r="92" spans="1:7" ht="34.5" customHeight="1" thickBot="1">
      <c r="A92" s="165" t="s">
        <v>231</v>
      </c>
      <c r="B92" s="1856" t="s">
        <v>232</v>
      </c>
      <c r="C92" s="1856"/>
      <c r="D92" s="1856"/>
      <c r="E92" s="350">
        <f>E93</f>
        <v>60000</v>
      </c>
      <c r="F92" s="350">
        <f>F93</f>
        <v>60000</v>
      </c>
      <c r="G92" s="823">
        <f aca="true" t="shared" si="3" ref="G92:G119">F92/E92</f>
        <v>1</v>
      </c>
    </row>
    <row r="93" spans="1:7" ht="24" customHeight="1">
      <c r="A93" s="351" t="s">
        <v>101</v>
      </c>
      <c r="B93" s="1857" t="s">
        <v>240</v>
      </c>
      <c r="C93" s="1857"/>
      <c r="D93" s="1857"/>
      <c r="E93" s="352">
        <f>E100+E94+E97+E103</f>
        <v>60000</v>
      </c>
      <c r="F93" s="352">
        <f>F100+F94+F97+F103</f>
        <v>60000</v>
      </c>
      <c r="G93" s="824">
        <f t="shared" si="3"/>
        <v>1</v>
      </c>
    </row>
    <row r="94" spans="1:7" ht="12">
      <c r="A94" s="831">
        <v>600</v>
      </c>
      <c r="B94" s="832"/>
      <c r="C94" s="833"/>
      <c r="D94" s="834" t="s">
        <v>278</v>
      </c>
      <c r="E94" s="835">
        <f>E95</f>
        <v>0</v>
      </c>
      <c r="F94" s="835">
        <f>F95</f>
        <v>0</v>
      </c>
      <c r="G94" s="829" t="e">
        <f t="shared" si="3"/>
        <v>#DIV/0!</v>
      </c>
    </row>
    <row r="95" spans="1:7" ht="12">
      <c r="A95" s="1858"/>
      <c r="B95" s="353">
        <v>60014</v>
      </c>
      <c r="C95" s="354"/>
      <c r="D95" s="355" t="s">
        <v>279</v>
      </c>
      <c r="E95" s="356">
        <f>E96</f>
        <v>0</v>
      </c>
      <c r="F95" s="356">
        <f>F96</f>
        <v>0</v>
      </c>
      <c r="G95" s="814" t="e">
        <f t="shared" si="3"/>
        <v>#DIV/0!</v>
      </c>
    </row>
    <row r="96" spans="1:7" ht="48">
      <c r="A96" s="1859"/>
      <c r="B96" s="271"/>
      <c r="C96" s="272">
        <v>6300</v>
      </c>
      <c r="D96" s="273" t="s">
        <v>243</v>
      </c>
      <c r="E96" s="274">
        <v>0</v>
      </c>
      <c r="F96" s="182">
        <v>0</v>
      </c>
      <c r="G96" s="817" t="e">
        <f t="shared" si="3"/>
        <v>#DIV/0!</v>
      </c>
    </row>
    <row r="97" spans="1:7" ht="12">
      <c r="A97" s="836">
        <v>851</v>
      </c>
      <c r="B97" s="837"/>
      <c r="C97" s="838"/>
      <c r="D97" s="376" t="s">
        <v>247</v>
      </c>
      <c r="E97" s="207">
        <f>E98</f>
        <v>60000</v>
      </c>
      <c r="F97" s="207">
        <f>F98</f>
        <v>60000</v>
      </c>
      <c r="G97" s="829">
        <f t="shared" si="3"/>
        <v>1</v>
      </c>
    </row>
    <row r="98" spans="1:7" ht="12">
      <c r="A98" s="357"/>
      <c r="B98" s="267">
        <v>85111</v>
      </c>
      <c r="C98" s="268"/>
      <c r="D98" s="227" t="s">
        <v>280</v>
      </c>
      <c r="E98" s="228">
        <f>E99</f>
        <v>60000</v>
      </c>
      <c r="F98" s="229">
        <f>F99</f>
        <v>60000</v>
      </c>
      <c r="G98" s="814">
        <f t="shared" si="3"/>
        <v>1</v>
      </c>
    </row>
    <row r="99" spans="1:7" ht="48">
      <c r="A99" s="358"/>
      <c r="B99" s="271"/>
      <c r="C99" s="272">
        <v>6220</v>
      </c>
      <c r="D99" s="273" t="s">
        <v>281</v>
      </c>
      <c r="E99" s="359">
        <v>60000</v>
      </c>
      <c r="F99" s="182">
        <v>60000</v>
      </c>
      <c r="G99" s="817">
        <f t="shared" si="3"/>
        <v>1</v>
      </c>
    </row>
    <row r="100" spans="1:7" ht="24">
      <c r="A100" s="839">
        <v>900</v>
      </c>
      <c r="B100" s="832"/>
      <c r="C100" s="833"/>
      <c r="D100" s="834" t="s">
        <v>249</v>
      </c>
      <c r="E100" s="835">
        <f>E101</f>
        <v>0</v>
      </c>
      <c r="F100" s="835">
        <f>F101</f>
        <v>0</v>
      </c>
      <c r="G100" s="829" t="e">
        <f t="shared" si="3"/>
        <v>#DIV/0!</v>
      </c>
    </row>
    <row r="101" spans="1:7" ht="12">
      <c r="A101" s="360"/>
      <c r="B101" s="353">
        <v>90013</v>
      </c>
      <c r="C101" s="354"/>
      <c r="D101" s="355" t="s">
        <v>252</v>
      </c>
      <c r="E101" s="356">
        <f>E102</f>
        <v>0</v>
      </c>
      <c r="F101" s="356">
        <f>F102</f>
        <v>0</v>
      </c>
      <c r="G101" s="814" t="e">
        <f t="shared" si="3"/>
        <v>#DIV/0!</v>
      </c>
    </row>
    <row r="102" spans="1:7" ht="48">
      <c r="A102" s="361"/>
      <c r="B102" s="271"/>
      <c r="C102" s="272">
        <v>6300</v>
      </c>
      <c r="D102" s="273" t="s">
        <v>243</v>
      </c>
      <c r="E102" s="274">
        <v>0</v>
      </c>
      <c r="F102" s="182">
        <v>0</v>
      </c>
      <c r="G102" s="817" t="e">
        <f t="shared" si="3"/>
        <v>#DIV/0!</v>
      </c>
    </row>
    <row r="103" spans="1:7" ht="24">
      <c r="A103" s="839">
        <v>921</v>
      </c>
      <c r="B103" s="832"/>
      <c r="C103" s="833"/>
      <c r="D103" s="834" t="s">
        <v>235</v>
      </c>
      <c r="E103" s="835">
        <f>E104</f>
        <v>0</v>
      </c>
      <c r="F103" s="835">
        <f>F104</f>
        <v>0</v>
      </c>
      <c r="G103" s="829" t="e">
        <f t="shared" si="3"/>
        <v>#DIV/0!</v>
      </c>
    </row>
    <row r="104" spans="1:7" ht="12">
      <c r="A104" s="360"/>
      <c r="B104" s="353">
        <v>92109</v>
      </c>
      <c r="C104" s="354"/>
      <c r="D104" s="176" t="s">
        <v>236</v>
      </c>
      <c r="E104" s="356">
        <f>E105</f>
        <v>0</v>
      </c>
      <c r="F104" s="356">
        <f>F105</f>
        <v>0</v>
      </c>
      <c r="G104" s="814" t="e">
        <f t="shared" si="3"/>
        <v>#DIV/0!</v>
      </c>
    </row>
    <row r="105" spans="1:7" ht="48">
      <c r="A105" s="361"/>
      <c r="B105" s="271"/>
      <c r="C105" s="272">
        <v>6220</v>
      </c>
      <c r="D105" s="273" t="s">
        <v>281</v>
      </c>
      <c r="E105" s="274">
        <v>0</v>
      </c>
      <c r="F105" s="182">
        <v>0</v>
      </c>
      <c r="G105" s="817" t="e">
        <f t="shared" si="3"/>
        <v>#DIV/0!</v>
      </c>
    </row>
    <row r="106" spans="1:7" ht="31.5" customHeight="1" thickBot="1">
      <c r="A106" s="362" t="s">
        <v>257</v>
      </c>
      <c r="B106" s="1860" t="s">
        <v>258</v>
      </c>
      <c r="C106" s="1860"/>
      <c r="D106" s="1860"/>
      <c r="E106" s="363">
        <f>E107</f>
        <v>203000</v>
      </c>
      <c r="F106" s="822">
        <f>F107</f>
        <v>201128.14</v>
      </c>
      <c r="G106" s="823">
        <f t="shared" si="3"/>
        <v>0.9907790147783252</v>
      </c>
    </row>
    <row r="107" spans="1:7" ht="21" customHeight="1">
      <c r="A107" s="364" t="s">
        <v>101</v>
      </c>
      <c r="B107" s="1850" t="s">
        <v>240</v>
      </c>
      <c r="C107" s="1850"/>
      <c r="D107" s="1850"/>
      <c r="E107" s="365">
        <f>E111+E108</f>
        <v>203000</v>
      </c>
      <c r="F107" s="365">
        <f>F108+F111</f>
        <v>201128.14</v>
      </c>
      <c r="G107" s="821">
        <f t="shared" si="3"/>
        <v>0.9907790147783252</v>
      </c>
    </row>
    <row r="108" spans="1:7" s="371" customFormat="1" ht="28.5" customHeight="1">
      <c r="A108" s="366">
        <v>754</v>
      </c>
      <c r="B108" s="367"/>
      <c r="C108" s="368"/>
      <c r="D108" s="369" t="s">
        <v>282</v>
      </c>
      <c r="E108" s="370">
        <f>E109</f>
        <v>2000</v>
      </c>
      <c r="F108" s="370">
        <f>F109</f>
        <v>2000</v>
      </c>
      <c r="G108" s="829">
        <f t="shared" si="3"/>
        <v>1</v>
      </c>
    </row>
    <row r="109" spans="1:7" s="371" customFormat="1" ht="18.75" customHeight="1">
      <c r="A109" s="364"/>
      <c r="B109" s="372">
        <v>75412</v>
      </c>
      <c r="C109" s="372"/>
      <c r="D109" s="372" t="s">
        <v>267</v>
      </c>
      <c r="E109" s="373">
        <f>E110</f>
        <v>2000</v>
      </c>
      <c r="F109" s="373">
        <f>F110</f>
        <v>2000</v>
      </c>
      <c r="G109" s="814">
        <f t="shared" si="3"/>
        <v>1</v>
      </c>
    </row>
    <row r="110" spans="1:7" s="371" customFormat="1" ht="60">
      <c r="A110" s="364"/>
      <c r="B110" s="220"/>
      <c r="C110" s="374">
        <v>6230</v>
      </c>
      <c r="D110" s="375" t="s">
        <v>283</v>
      </c>
      <c r="E110" s="1655">
        <v>2000</v>
      </c>
      <c r="F110" s="1655">
        <v>2000</v>
      </c>
      <c r="G110" s="817">
        <f t="shared" si="3"/>
        <v>1</v>
      </c>
    </row>
    <row r="111" spans="1:7" ht="24">
      <c r="A111" s="366">
        <v>900</v>
      </c>
      <c r="B111" s="366"/>
      <c r="C111" s="376"/>
      <c r="D111" s="193" t="s">
        <v>284</v>
      </c>
      <c r="E111" s="830">
        <f>E112+E114+E116</f>
        <v>201000</v>
      </c>
      <c r="F111" s="830">
        <f>F112+F114+F116</f>
        <v>199128.14</v>
      </c>
      <c r="G111" s="829">
        <f t="shared" si="3"/>
        <v>0.9906872636815921</v>
      </c>
    </row>
    <row r="112" spans="1:7" ht="12">
      <c r="A112" s="377"/>
      <c r="B112" s="378">
        <v>90001</v>
      </c>
      <c r="C112" s="378"/>
      <c r="D112" s="210" t="s">
        <v>285</v>
      </c>
      <c r="E112" s="270">
        <f>E113</f>
        <v>45000</v>
      </c>
      <c r="F112" s="270">
        <f>F113</f>
        <v>43985.47</v>
      </c>
      <c r="G112" s="814">
        <f t="shared" si="3"/>
        <v>0.9774548888888889</v>
      </c>
    </row>
    <row r="113" spans="1:7" ht="60">
      <c r="A113" s="379"/>
      <c r="B113" s="271"/>
      <c r="C113" s="380">
        <v>6230</v>
      </c>
      <c r="D113" s="381" t="s">
        <v>283</v>
      </c>
      <c r="E113" s="274">
        <v>45000</v>
      </c>
      <c r="F113" s="182">
        <v>43985.47</v>
      </c>
      <c r="G113" s="817">
        <f t="shared" si="3"/>
        <v>0.9774548888888889</v>
      </c>
    </row>
    <row r="114" spans="1:7" ht="24">
      <c r="A114" s="379"/>
      <c r="B114" s="378">
        <v>90005</v>
      </c>
      <c r="C114" s="378"/>
      <c r="D114" s="210" t="s">
        <v>286</v>
      </c>
      <c r="E114" s="270">
        <f>E115</f>
        <v>111000</v>
      </c>
      <c r="F114" s="270">
        <f>F115</f>
        <v>110142.67</v>
      </c>
      <c r="G114" s="814">
        <f t="shared" si="3"/>
        <v>0.9922763063063063</v>
      </c>
    </row>
    <row r="115" spans="1:7" ht="60">
      <c r="A115" s="379"/>
      <c r="B115" s="382"/>
      <c r="C115" s="374">
        <v>6230</v>
      </c>
      <c r="D115" s="375" t="s">
        <v>283</v>
      </c>
      <c r="E115" s="274">
        <v>111000</v>
      </c>
      <c r="F115" s="182">
        <v>110142.67</v>
      </c>
      <c r="G115" s="817">
        <f t="shared" si="3"/>
        <v>0.9922763063063063</v>
      </c>
    </row>
    <row r="116" spans="1:7" ht="12">
      <c r="A116" s="1656"/>
      <c r="B116" s="1657">
        <v>90095</v>
      </c>
      <c r="C116" s="1658"/>
      <c r="D116" s="1659" t="s">
        <v>962</v>
      </c>
      <c r="E116" s="1660">
        <f>E117</f>
        <v>45000</v>
      </c>
      <c r="F116" s="1660">
        <f>F117</f>
        <v>45000</v>
      </c>
      <c r="G116" s="817">
        <f t="shared" si="3"/>
        <v>1</v>
      </c>
    </row>
    <row r="117" spans="1:7" ht="60">
      <c r="A117" s="1656"/>
      <c r="B117" s="271"/>
      <c r="C117" s="380">
        <v>6230</v>
      </c>
      <c r="D117" s="381" t="s">
        <v>283</v>
      </c>
      <c r="E117" s="359">
        <v>45000</v>
      </c>
      <c r="F117" s="182">
        <v>45000</v>
      </c>
      <c r="G117" s="817">
        <f t="shared" si="3"/>
        <v>1</v>
      </c>
    </row>
    <row r="118" spans="1:7" ht="20.25" customHeight="1">
      <c r="A118" s="1863" t="s">
        <v>226</v>
      </c>
      <c r="B118" s="1864"/>
      <c r="C118" s="1864"/>
      <c r="D118" s="1865"/>
      <c r="E118" s="383">
        <f>E92+E106</f>
        <v>263000</v>
      </c>
      <c r="F118" s="383">
        <f>F92+F106</f>
        <v>261128.14</v>
      </c>
      <c r="G118" s="1661">
        <f t="shared" si="3"/>
        <v>0.9928826615969583</v>
      </c>
    </row>
    <row r="119" spans="1:7" ht="27.75" customHeight="1">
      <c r="A119" s="1853" t="s">
        <v>287</v>
      </c>
      <c r="B119" s="1854"/>
      <c r="C119" s="1854"/>
      <c r="D119" s="1855"/>
      <c r="E119" s="384">
        <f>E118+E89</f>
        <v>7226844.949999999</v>
      </c>
      <c r="F119" s="384">
        <f>F118+F89</f>
        <v>6902533.75</v>
      </c>
      <c r="G119" s="819">
        <f t="shared" si="3"/>
        <v>0.9551240960275481</v>
      </c>
    </row>
  </sheetData>
  <sheetProtection/>
  <mergeCells count="31">
    <mergeCell ref="E3:G3"/>
    <mergeCell ref="B38:D38"/>
    <mergeCell ref="B8:D8"/>
    <mergeCell ref="A79:A80"/>
    <mergeCell ref="D1:G1"/>
    <mergeCell ref="A48:A53"/>
    <mergeCell ref="A19:A20"/>
    <mergeCell ref="A56:A57"/>
    <mergeCell ref="A34:A37"/>
    <mergeCell ref="B54:D54"/>
    <mergeCell ref="E2:G2"/>
    <mergeCell ref="A119:D119"/>
    <mergeCell ref="B92:D92"/>
    <mergeCell ref="B93:D93"/>
    <mergeCell ref="A95:A96"/>
    <mergeCell ref="B106:D106"/>
    <mergeCell ref="A5:G5"/>
    <mergeCell ref="B45:D45"/>
    <mergeCell ref="A6:E6"/>
    <mergeCell ref="B9:D9"/>
    <mergeCell ref="A118:D118"/>
    <mergeCell ref="A11:A16"/>
    <mergeCell ref="B46:D46"/>
    <mergeCell ref="A59:A60"/>
    <mergeCell ref="A62:A65"/>
    <mergeCell ref="B107:D107"/>
    <mergeCell ref="A40:A41"/>
    <mergeCell ref="B17:D17"/>
    <mergeCell ref="A89:D89"/>
    <mergeCell ref="A24:A27"/>
    <mergeCell ref="A90:G90"/>
  </mergeCells>
  <printOptions/>
  <pageMargins left="0.7086614173228347" right="0" top="0.7480314960629921" bottom="0.35433070866141736" header="0.31496062992125984" footer="0.11811023622047245"/>
  <pageSetup fitToHeight="0" fitToWidth="1" horizontalDpi="600" verticalDpi="600" orientation="portrait" paperSize="9" scale="9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140625" style="385" customWidth="1"/>
    <col min="2" max="2" width="44.8515625" style="385" customWidth="1"/>
    <col min="3" max="3" width="20.7109375" style="385" customWidth="1"/>
    <col min="4" max="5" width="17.140625" style="385" customWidth="1"/>
    <col min="6" max="6" width="18.140625" style="385" customWidth="1"/>
    <col min="7" max="7" width="23.00390625" style="385" customWidth="1"/>
    <col min="8" max="16384" width="9.140625" style="385" customWidth="1"/>
  </cols>
  <sheetData>
    <row r="1" spans="6:7" ht="12.75">
      <c r="F1" s="1887" t="s">
        <v>840</v>
      </c>
      <c r="G1" s="1887"/>
    </row>
    <row r="2" spans="6:7" ht="12.75">
      <c r="F2" s="1396"/>
      <c r="G2" s="1396"/>
    </row>
    <row r="4" spans="1:7" ht="15.75">
      <c r="A4" s="1888" t="s">
        <v>889</v>
      </c>
      <c r="B4" s="1888"/>
      <c r="C4" s="1888"/>
      <c r="D4" s="1888"/>
      <c r="E4" s="1888"/>
      <c r="F4" s="1888"/>
      <c r="G4" s="1888"/>
    </row>
    <row r="5" spans="1:7" ht="15.75">
      <c r="A5" s="1397"/>
      <c r="B5" s="1397"/>
      <c r="C5" s="1397"/>
      <c r="D5" s="1397"/>
      <c r="E5" s="1397"/>
      <c r="F5" s="1397"/>
      <c r="G5" s="1397"/>
    </row>
    <row r="6" spans="1:7" s="386" customFormat="1" ht="13.5" customHeight="1">
      <c r="A6" s="1889" t="s">
        <v>99</v>
      </c>
      <c r="B6" s="1890" t="s">
        <v>288</v>
      </c>
      <c r="C6" s="1891" t="s">
        <v>289</v>
      </c>
      <c r="D6" s="1891" t="s">
        <v>290</v>
      </c>
      <c r="E6" s="1892" t="s">
        <v>92</v>
      </c>
      <c r="F6" s="1892"/>
      <c r="G6" s="1892"/>
    </row>
    <row r="7" spans="1:7" s="386" customFormat="1" ht="13.5" customHeight="1">
      <c r="A7" s="1889"/>
      <c r="B7" s="1890"/>
      <c r="C7" s="1891"/>
      <c r="D7" s="1891"/>
      <c r="E7" s="1890" t="s">
        <v>291</v>
      </c>
      <c r="F7" s="1890"/>
      <c r="G7" s="1890" t="s">
        <v>292</v>
      </c>
    </row>
    <row r="8" spans="1:7" s="386" customFormat="1" ht="45">
      <c r="A8" s="1889"/>
      <c r="B8" s="1890"/>
      <c r="C8" s="1891"/>
      <c r="D8" s="1891"/>
      <c r="E8" s="387" t="s">
        <v>293</v>
      </c>
      <c r="F8" s="388" t="s">
        <v>294</v>
      </c>
      <c r="G8" s="1890"/>
    </row>
    <row r="9" spans="1:7" s="386" customFormat="1" ht="12.75">
      <c r="A9" s="389">
        <v>1</v>
      </c>
      <c r="B9" s="389">
        <v>2</v>
      </c>
      <c r="C9" s="390">
        <v>4</v>
      </c>
      <c r="D9" s="390">
        <v>6</v>
      </c>
      <c r="E9" s="389">
        <v>7</v>
      </c>
      <c r="F9" s="389">
        <v>8</v>
      </c>
      <c r="G9" s="389">
        <v>9</v>
      </c>
    </row>
    <row r="10" spans="1:7" s="386" customFormat="1" ht="27" customHeight="1">
      <c r="A10" s="391" t="s">
        <v>101</v>
      </c>
      <c r="B10" s="392" t="s">
        <v>295</v>
      </c>
      <c r="C10" s="393">
        <f>1703000+C13+C14+C15</f>
        <v>2142855.35</v>
      </c>
      <c r="D10" s="393">
        <f>1705000+C13+C14+C15</f>
        <v>2144855.35</v>
      </c>
      <c r="E10" s="394">
        <f>D10-G10</f>
        <v>2131755.35</v>
      </c>
      <c r="F10" s="394">
        <v>411800</v>
      </c>
      <c r="G10" s="395">
        <f>12000+1100</f>
        <v>13100</v>
      </c>
    </row>
    <row r="11" spans="1:7" s="386" customFormat="1" ht="12" customHeight="1">
      <c r="A11" s="396"/>
      <c r="B11" s="397" t="s">
        <v>92</v>
      </c>
      <c r="C11" s="393"/>
      <c r="D11" s="393"/>
      <c r="E11" s="394"/>
      <c r="F11" s="394"/>
      <c r="G11" s="395"/>
    </row>
    <row r="12" spans="1:7" s="386" customFormat="1" ht="14.25" customHeight="1">
      <c r="A12" s="396"/>
      <c r="B12" s="397" t="s">
        <v>296</v>
      </c>
      <c r="C12" s="398">
        <f>C13+C14+C15</f>
        <v>439855.35</v>
      </c>
      <c r="D12" s="393"/>
      <c r="E12" s="394"/>
      <c r="F12" s="394"/>
      <c r="G12" s="395"/>
    </row>
    <row r="13" spans="1:7" s="386" customFormat="1" ht="39.75" customHeight="1">
      <c r="A13" s="396"/>
      <c r="B13" s="399" t="s">
        <v>297</v>
      </c>
      <c r="C13" s="398">
        <v>351925.63</v>
      </c>
      <c r="D13" s="393"/>
      <c r="E13" s="394"/>
      <c r="F13" s="394"/>
      <c r="G13" s="395"/>
    </row>
    <row r="14" spans="1:7" s="386" customFormat="1" ht="32.25" customHeight="1">
      <c r="A14" s="396"/>
      <c r="B14" s="400" t="s">
        <v>298</v>
      </c>
      <c r="C14" s="398">
        <v>14709.29</v>
      </c>
      <c r="D14" s="393"/>
      <c r="E14" s="393"/>
      <c r="F14" s="393"/>
      <c r="G14" s="401"/>
    </row>
    <row r="15" spans="1:7" s="386" customFormat="1" ht="31.5" customHeight="1">
      <c r="A15" s="396"/>
      <c r="B15" s="402" t="s">
        <v>299</v>
      </c>
      <c r="C15" s="398">
        <v>73220.43</v>
      </c>
      <c r="D15" s="393"/>
      <c r="E15" s="393"/>
      <c r="F15" s="393"/>
      <c r="G15" s="401"/>
    </row>
    <row r="16" spans="1:7" s="386" customFormat="1" ht="19.5" customHeight="1">
      <c r="A16" s="404"/>
      <c r="B16" s="1405" t="s">
        <v>827</v>
      </c>
      <c r="C16" s="1406">
        <f>C10</f>
        <v>2142855.35</v>
      </c>
      <c r="D16" s="1406">
        <f>D10</f>
        <v>2144855.35</v>
      </c>
      <c r="E16" s="1406">
        <f>E10</f>
        <v>2131755.35</v>
      </c>
      <c r="F16" s="1406">
        <f>F10</f>
        <v>411800</v>
      </c>
      <c r="G16" s="1406">
        <f>G10</f>
        <v>13100</v>
      </c>
    </row>
    <row r="17" spans="1:7" s="386" customFormat="1" ht="27" customHeight="1">
      <c r="A17" s="396"/>
      <c r="B17" s="392" t="s">
        <v>295</v>
      </c>
      <c r="C17" s="393">
        <v>1986695.54</v>
      </c>
      <c r="D17" s="393">
        <v>2023643.97</v>
      </c>
      <c r="E17" s="394">
        <f>D17-G17</f>
        <v>2010585.96</v>
      </c>
      <c r="F17" s="394">
        <f>261385.31+19443.48+53944.84+3454.14+31562</f>
        <v>369789.77</v>
      </c>
      <c r="G17" s="395">
        <v>13058.01</v>
      </c>
    </row>
    <row r="18" spans="1:7" s="386" customFormat="1" ht="12" customHeight="1">
      <c r="A18" s="396"/>
      <c r="B18" s="397" t="s">
        <v>92</v>
      </c>
      <c r="C18" s="393"/>
      <c r="D18" s="393"/>
      <c r="E18" s="394"/>
      <c r="F18" s="394"/>
      <c r="G18" s="395"/>
    </row>
    <row r="19" spans="1:7" s="386" customFormat="1" ht="14.25" customHeight="1">
      <c r="A19" s="396"/>
      <c r="B19" s="397" t="s">
        <v>296</v>
      </c>
      <c r="C19" s="398">
        <f>C20+C21+C22</f>
        <v>432037.87999999995</v>
      </c>
      <c r="D19" s="393"/>
      <c r="E19" s="394"/>
      <c r="F19" s="394"/>
      <c r="G19" s="395"/>
    </row>
    <row r="20" spans="1:7" s="386" customFormat="1" ht="39.75" customHeight="1">
      <c r="A20" s="396"/>
      <c r="B20" s="399" t="s">
        <v>297</v>
      </c>
      <c r="C20" s="398">
        <v>344108.16</v>
      </c>
      <c r="D20" s="393"/>
      <c r="E20" s="394"/>
      <c r="F20" s="394"/>
      <c r="G20" s="395"/>
    </row>
    <row r="21" spans="1:7" s="386" customFormat="1" ht="32.25" customHeight="1">
      <c r="A21" s="396"/>
      <c r="B21" s="400" t="s">
        <v>298</v>
      </c>
      <c r="C21" s="398">
        <v>14709.29</v>
      </c>
      <c r="D21" s="393"/>
      <c r="E21" s="393"/>
      <c r="F21" s="393"/>
      <c r="G21" s="401"/>
    </row>
    <row r="22" spans="1:7" s="386" customFormat="1" ht="31.5" customHeight="1">
      <c r="A22" s="396"/>
      <c r="B22" s="402" t="s">
        <v>299</v>
      </c>
      <c r="C22" s="398">
        <v>73220.43</v>
      </c>
      <c r="D22" s="393"/>
      <c r="E22" s="393"/>
      <c r="F22" s="393"/>
      <c r="G22" s="401"/>
    </row>
    <row r="23" spans="1:7" s="386" customFormat="1" ht="33" customHeight="1">
      <c r="A23" s="404"/>
      <c r="B23" s="1408" t="s">
        <v>828</v>
      </c>
      <c r="C23" s="1406">
        <f>C17</f>
        <v>1986695.54</v>
      </c>
      <c r="D23" s="1406">
        <f>D17</f>
        <v>2023643.97</v>
      </c>
      <c r="E23" s="1406">
        <f>E17</f>
        <v>2010585.96</v>
      </c>
      <c r="F23" s="1406">
        <f>F17</f>
        <v>369789.77</v>
      </c>
      <c r="G23" s="1406">
        <f>G17</f>
        <v>13058.01</v>
      </c>
    </row>
    <row r="24" spans="1:7" s="386" customFormat="1" ht="19.5" customHeight="1">
      <c r="A24" s="404"/>
      <c r="B24" s="1407" t="s">
        <v>85</v>
      </c>
      <c r="C24" s="1415">
        <f>C23/C16</f>
        <v>0.9271253610282187</v>
      </c>
      <c r="D24" s="1415">
        <f>D23/D16</f>
        <v>0.9434873871564345</v>
      </c>
      <c r="E24" s="1415">
        <f>E23/E16</f>
        <v>0.9431598048997507</v>
      </c>
      <c r="F24" s="1415">
        <f>F23/F16</f>
        <v>0.8979838999514328</v>
      </c>
      <c r="G24" s="1415">
        <f>G23/G16</f>
        <v>0.9967946564885496</v>
      </c>
    </row>
    <row r="25" spans="1:7" s="386" customFormat="1" ht="39" customHeight="1">
      <c r="A25" s="403" t="s">
        <v>103</v>
      </c>
      <c r="B25" s="392" t="s">
        <v>300</v>
      </c>
      <c r="C25" s="393">
        <f>1360000+50000+1008045.25</f>
        <v>2418045.25</v>
      </c>
      <c r="D25" s="393">
        <f>1360000+50000+1008045.25</f>
        <v>2418045.25</v>
      </c>
      <c r="E25" s="394">
        <f>D25-G25</f>
        <v>2373045.25</v>
      </c>
      <c r="F25" s="394">
        <v>475000</v>
      </c>
      <c r="G25" s="395">
        <f>30000+15000</f>
        <v>45000</v>
      </c>
    </row>
    <row r="26" spans="1:7" s="386" customFormat="1" ht="18.75" customHeight="1">
      <c r="A26" s="404"/>
      <c r="B26" s="397" t="s">
        <v>92</v>
      </c>
      <c r="C26" s="405"/>
      <c r="D26" s="393"/>
      <c r="E26" s="394"/>
      <c r="F26" s="394"/>
      <c r="G26" s="395"/>
    </row>
    <row r="27" spans="1:7" s="386" customFormat="1" ht="22.5" customHeight="1">
      <c r="A27" s="404"/>
      <c r="B27" s="406" t="s">
        <v>296</v>
      </c>
      <c r="C27" s="407">
        <f>C28</f>
        <v>150000</v>
      </c>
      <c r="D27" s="408"/>
      <c r="E27" s="409"/>
      <c r="F27" s="409"/>
      <c r="G27" s="410"/>
    </row>
    <row r="28" spans="1:7" s="386" customFormat="1" ht="30" customHeight="1">
      <c r="A28" s="404"/>
      <c r="B28" s="411" t="s">
        <v>301</v>
      </c>
      <c r="C28" s="412">
        <v>150000</v>
      </c>
      <c r="D28" s="413"/>
      <c r="E28" s="414"/>
      <c r="F28" s="414"/>
      <c r="G28" s="415"/>
    </row>
    <row r="29" spans="1:7" s="386" customFormat="1" ht="22.5" customHeight="1">
      <c r="A29" s="404"/>
      <c r="B29" s="1410" t="s">
        <v>829</v>
      </c>
      <c r="C29" s="1411">
        <f>C25</f>
        <v>2418045.25</v>
      </c>
      <c r="D29" s="1411">
        <f>D25</f>
        <v>2418045.25</v>
      </c>
      <c r="E29" s="1412">
        <f>E25</f>
        <v>2373045.25</v>
      </c>
      <c r="F29" s="1412">
        <f>F25</f>
        <v>475000</v>
      </c>
      <c r="G29" s="1413">
        <f>G25</f>
        <v>45000</v>
      </c>
    </row>
    <row r="30" spans="1:7" s="386" customFormat="1" ht="39" customHeight="1">
      <c r="A30" s="396"/>
      <c r="B30" s="392" t="s">
        <v>300</v>
      </c>
      <c r="C30" s="393">
        <v>2220764.86</v>
      </c>
      <c r="D30" s="393">
        <v>2369078.58</v>
      </c>
      <c r="E30" s="394">
        <f>D30-G30</f>
        <v>2326229.58</v>
      </c>
      <c r="F30" s="394">
        <f>349977.14+17373.69+65686.99+4528.57+5928.6</f>
        <v>443494.99</v>
      </c>
      <c r="G30" s="395">
        <v>42849</v>
      </c>
    </row>
    <row r="31" spans="1:7" s="386" customFormat="1" ht="18.75" customHeight="1">
      <c r="A31" s="404"/>
      <c r="B31" s="397" t="s">
        <v>92</v>
      </c>
      <c r="C31" s="405"/>
      <c r="D31" s="393"/>
      <c r="E31" s="394"/>
      <c r="F31" s="394"/>
      <c r="G31" s="395"/>
    </row>
    <row r="32" spans="1:7" s="386" customFormat="1" ht="22.5" customHeight="1">
      <c r="A32" s="404"/>
      <c r="B32" s="406" t="s">
        <v>296</v>
      </c>
      <c r="C32" s="407">
        <f>C33</f>
        <v>150000</v>
      </c>
      <c r="D32" s="408"/>
      <c r="E32" s="409"/>
      <c r="F32" s="409"/>
      <c r="G32" s="410"/>
    </row>
    <row r="33" spans="1:7" s="386" customFormat="1" ht="30" customHeight="1">
      <c r="A33" s="404"/>
      <c r="B33" s="411" t="s">
        <v>301</v>
      </c>
      <c r="C33" s="412">
        <v>150000</v>
      </c>
      <c r="D33" s="413"/>
      <c r="E33" s="414"/>
      <c r="F33" s="414"/>
      <c r="G33" s="415"/>
    </row>
    <row r="34" spans="1:7" s="386" customFormat="1" ht="45.75" customHeight="1">
      <c r="A34" s="404"/>
      <c r="B34" s="1410" t="s">
        <v>830</v>
      </c>
      <c r="C34" s="1411">
        <f>C30</f>
        <v>2220764.86</v>
      </c>
      <c r="D34" s="1411">
        <f>D30</f>
        <v>2369078.58</v>
      </c>
      <c r="E34" s="1412">
        <f>E30</f>
        <v>2326229.58</v>
      </c>
      <c r="F34" s="1412">
        <f>F30</f>
        <v>443494.99</v>
      </c>
      <c r="G34" s="1413">
        <f>G30</f>
        <v>42849</v>
      </c>
    </row>
    <row r="35" spans="1:7" s="386" customFormat="1" ht="45.75" customHeight="1">
      <c r="A35" s="1409"/>
      <c r="B35" s="1407" t="s">
        <v>85</v>
      </c>
      <c r="C35" s="1416">
        <f>C34/C29</f>
        <v>0.918413276178351</v>
      </c>
      <c r="D35" s="1416">
        <f>D34/D29</f>
        <v>0.9797494815285198</v>
      </c>
      <c r="E35" s="1416">
        <f>E34/E29</f>
        <v>0.9802719016841336</v>
      </c>
      <c r="F35" s="1416">
        <f>F34/F29</f>
        <v>0.9336736631578947</v>
      </c>
      <c r="G35" s="1416">
        <f>G34/G29</f>
        <v>0.9522</v>
      </c>
    </row>
    <row r="36" spans="1:7" s="386" customFormat="1" ht="24.75" customHeight="1">
      <c r="A36" s="1893" t="s">
        <v>831</v>
      </c>
      <c r="B36" s="1894"/>
      <c r="C36" s="1414">
        <f>C16+C29</f>
        <v>4560900.6</v>
      </c>
      <c r="D36" s="1414">
        <f>D16+D29</f>
        <v>4562900.6</v>
      </c>
      <c r="E36" s="1414">
        <f>E16+E29</f>
        <v>4504800.6</v>
      </c>
      <c r="F36" s="1414">
        <f>F16+F29</f>
        <v>886800</v>
      </c>
      <c r="G36" s="1414">
        <f>G16+G29</f>
        <v>58100</v>
      </c>
    </row>
    <row r="37" spans="1:7" ht="26.25" customHeight="1">
      <c r="A37" s="1895" t="s">
        <v>832</v>
      </c>
      <c r="B37" s="1896"/>
      <c r="C37" s="1417">
        <f>C34+C23</f>
        <v>4207460.4</v>
      </c>
      <c r="D37" s="1417">
        <f>D34+D23</f>
        <v>4392722.55</v>
      </c>
      <c r="E37" s="1417">
        <f>E34+E23</f>
        <v>4336815.54</v>
      </c>
      <c r="F37" s="1417">
        <f>F34+F23</f>
        <v>813284.76</v>
      </c>
      <c r="G37" s="1417">
        <f>G34+G23</f>
        <v>55907.01</v>
      </c>
    </row>
    <row r="38" spans="1:7" ht="24.75" customHeight="1">
      <c r="A38" s="1895" t="s">
        <v>833</v>
      </c>
      <c r="B38" s="1896"/>
      <c r="C38" s="1418">
        <f>C37/C36</f>
        <v>0.9225064891789136</v>
      </c>
      <c r="D38" s="1418">
        <f>D37/D36</f>
        <v>0.9627039760629457</v>
      </c>
      <c r="E38" s="1418">
        <f>E37/E36</f>
        <v>0.9627097678862857</v>
      </c>
      <c r="F38" s="1418">
        <f>F37/F36</f>
        <v>0.9171005412719891</v>
      </c>
      <c r="G38" s="1418">
        <f>G37/G36</f>
        <v>0.9622549053356283</v>
      </c>
    </row>
  </sheetData>
  <sheetProtection selectLockedCells="1" selectUnlockedCells="1"/>
  <mergeCells count="12">
    <mergeCell ref="A36:B36"/>
    <mergeCell ref="A37:B37"/>
    <mergeCell ref="A38:B38"/>
    <mergeCell ref="G7:G8"/>
    <mergeCell ref="F1:G1"/>
    <mergeCell ref="A4:G4"/>
    <mergeCell ref="A6:A8"/>
    <mergeCell ref="B6:B8"/>
    <mergeCell ref="C6:C8"/>
    <mergeCell ref="D6:D8"/>
    <mergeCell ref="E6:G6"/>
    <mergeCell ref="E7:F7"/>
  </mergeCells>
  <printOptions/>
  <pageMargins left="0.4724409448818898" right="0.31496062992125984" top="0.7874015748031497" bottom="0.3937007874015748" header="0.31496062992125984" footer="0.118110236220472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mkachlicka</dc:creator>
  <cp:keywords/>
  <dc:description/>
  <cp:lastModifiedBy>Anna Mazur</cp:lastModifiedBy>
  <cp:lastPrinted>2020-03-31T09:20:28Z</cp:lastPrinted>
  <dcterms:created xsi:type="dcterms:W3CDTF">2018-12-19T05:10:37Z</dcterms:created>
  <dcterms:modified xsi:type="dcterms:W3CDTF">2020-06-22T06:12:10Z</dcterms:modified>
  <cp:category/>
  <cp:version/>
  <cp:contentType/>
  <cp:contentStatus/>
</cp:coreProperties>
</file>