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0" firstSheet="3" activeTab="3"/>
  </bookViews>
  <sheets>
    <sheet name="Arkusz2 (2)" sheetId="1" state="hidden" r:id="rId1"/>
    <sheet name="podział środków soł. na 2013(2)" sheetId="2" state="hidden" r:id="rId2"/>
    <sheet name="Podział środków 2020" sheetId="3" state="hidden" r:id="rId3"/>
    <sheet name="Przedsięwzięcia" sheetId="4" r:id="rId4"/>
    <sheet name="Tabela" sheetId="5" state="hidden" r:id="rId5"/>
  </sheets>
  <definedNames>
    <definedName name="Excel_BuiltIn_Print_Titles_1">'Arkusz2 (2)'!$3:$3</definedName>
    <definedName name="Excel_BuiltIn_Print_Titles_2">#REF!</definedName>
    <definedName name="Excel_BuiltIn_Print_Titles_2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6">#REF!</definedName>
    <definedName name="Excel_BuiltIn_Print_Titles_8">#REF!</definedName>
    <definedName name="_xlnm.Print_Titles" localSheetId="2">'Podział środków 2020'!$4:$4</definedName>
  </definedNames>
  <calcPr fullCalcOnLoad="1"/>
</workbook>
</file>

<file path=xl/sharedStrings.xml><?xml version="1.0" encoding="utf-8"?>
<sst xmlns="http://schemas.openxmlformats.org/spreadsheetml/2006/main" count="815" uniqueCount="445">
  <si>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</si>
  <si>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</si>
  <si>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</si>
  <si>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</si>
  <si>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</si>
  <si>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</si>
  <si>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</si>
  <si>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</si>
  <si>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</si>
  <si>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</si>
  <si>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</si>
  <si>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</si>
  <si>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</si>
  <si>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</si>
  <si>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</si>
  <si>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</si>
  <si>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</si>
  <si>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</si>
  <si>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</si>
  <si>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</si>
  <si>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</si>
  <si>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</si>
  <si>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</si>
  <si>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</si>
  <si>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</si>
  <si>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</si>
  <si>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</si>
  <si>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</si>
  <si>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</si>
  <si>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</si>
  <si>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</si>
  <si>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</si>
  <si>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</si>
  <si>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</si>
  <si>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</si>
  <si>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</si>
  <si>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</si>
  <si>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</si>
  <si>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</si>
  <si>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</si>
  <si>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</si>
  <si>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</si>
  <si>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</si>
  <si>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</si>
  <si>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</si>
  <si>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</si>
  <si>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</si>
  <si>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</si>
  <si>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</si>
  <si>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</si>
  <si>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</si>
  <si>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</si>
  <si>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</si>
  <si>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</si>
  <si>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</si>
  <si>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</si>
  <si>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</si>
  <si>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</si>
  <si>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</si>
  <si>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</si>
  <si>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</si>
  <si>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</si>
  <si>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</si>
  <si>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</si>
  <si>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</si>
  <si>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</si>
  <si>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</si>
  <si>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</si>
  <si>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</si>
  <si>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</si>
  <si>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</si>
  <si>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</si>
  <si>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</si>
  <si>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</si>
  <si>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</si>
  <si>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</si>
  <si>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</si>
  <si>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</si>
  <si>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</si>
  <si>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</si>
  <si>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</si>
  <si>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</si>
  <si>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</si>
  <si>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</si>
  <si>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</si>
  <si>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</si>
  <si>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</si>
  <si>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</si>
  <si>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</si>
  <si>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</si>
  <si>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</si>
  <si>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</si>
  <si>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</si>
  <si>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</si>
  <si>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</si>
  <si>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</si>
  <si>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</si>
  <si>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</si>
  <si>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</si>
  <si>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</si>
  <si>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</si>
  <si>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</si>
  <si>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</si>
  <si>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</si>
  <si>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</si>
  <si>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</si>
  <si>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</si>
  <si>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</si>
  <si>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</si>
  <si>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</si>
  <si>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</si>
  <si>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</si>
  <si>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</si>
  <si>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</si>
  <si>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</si>
  <si>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</si>
  <si>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</si>
  <si>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</si>
  <si>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</si>
  <si>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</si>
  <si>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</si>
  <si>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</si>
  <si>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</si>
  <si>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</si>
  <si>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</si>
  <si>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</si>
  <si>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</si>
  <si>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</si>
  <si>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</si>
  <si>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</si>
  <si>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</si>
  <si>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</si>
  <si>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</si>
  <si>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</si>
  <si>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</si>
  <si>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</si>
  <si>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</si>
  <si>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</si>
  <si>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</si>
  <si>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</si>
  <si>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</si>
  <si>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</si>
  <si>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</si>
  <si>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</si>
  <si>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</si>
  <si>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</si>
  <si>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</si>
  <si>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</si>
  <si>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</si>
  <si>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</si>
  <si>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</si>
  <si>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</si>
  <si>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</si>
  <si>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</si>
  <si>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</si>
  <si>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</si>
  <si>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</si>
  <si>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</si>
  <si>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</si>
  <si>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</si>
  <si>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</si>
  <si>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</si>
  <si>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</si>
  <si>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92695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</si>
  <si>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</si>
  <si>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</si>
  <si>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</si>
  <si>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</si>
  <si>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</si>
  <si>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</si>
  <si>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</si>
  <si>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</si>
  <si>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</si>
  <si>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</si>
  <si>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</si>
  <si>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</si>
  <si>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</si>
  <si>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</si>
  <si>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</si>
  <si>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</si>
  <si>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</si>
  <si>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</si>
  <si>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</si>
  <si>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</si>
  <si>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</si>
  <si>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</si>
  <si>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</si>
  <si>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</si>
  <si>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</si>
  <si>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</si>
  <si>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</si>
  <si>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</si>
  <si>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</si>
  <si>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</si>
  <si>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</si>
  <si>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Utrzymanie boiska sportowego i terenu wokół</t>
  </si>
  <si>
    <t>4360</t>
  </si>
  <si>
    <t>90015</t>
  </si>
  <si>
    <t>Oświetlenie ulic, placów i dróg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</si>
  <si>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</si>
  <si>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</si>
  <si>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</si>
  <si>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</si>
  <si>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</si>
  <si>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</si>
  <si>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</si>
  <si>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</si>
  <si>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</si>
  <si>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</si>
  <si>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</si>
  <si>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</si>
  <si>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</si>
  <si>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</si>
  <si>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Wydatki inwestycyjne jednostek budżetowych</t>
  </si>
  <si>
    <t>630</t>
  </si>
  <si>
    <t>Turystyka</t>
  </si>
  <si>
    <t>63095</t>
  </si>
  <si>
    <t>80104</t>
  </si>
  <si>
    <t>Przedszkola</t>
  </si>
  <si>
    <t>Utrzymanie i pielęgnacja wiejskich terenów zielonych</t>
  </si>
  <si>
    <t>Utrzymanie i wyposażenie świetlicy</t>
  </si>
  <si>
    <t>Ruch to zdrowie - utrzymanie i organizacja centrum sportowo-rekreacyjno-wypoczynkowego przy świetlicy wiejskiej</t>
  </si>
  <si>
    <t>Prace pielęgnacyjne na stadionie sportowym w Gościejewie</t>
  </si>
  <si>
    <t>Utrzymanie boiska wiejskiego</t>
  </si>
  <si>
    <t>Organizacja imprez sportowych i dbanie o boiska i place zabaw</t>
  </si>
  <si>
    <t>Wynagrodzenie dla palacza i opiekuna świetlicy</t>
  </si>
  <si>
    <t>Poprawa estetyki wsi</t>
  </si>
  <si>
    <t>Zakup lamp</t>
  </si>
  <si>
    <t>Równanie dróg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</si>
  <si>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</si>
  <si>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</si>
  <si>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</si>
  <si>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</si>
  <si>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</si>
  <si>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</si>
  <si>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</si>
  <si>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</si>
  <si>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</si>
  <si>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</si>
  <si>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</si>
  <si>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</si>
  <si>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</si>
  <si>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</si>
  <si>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</si>
  <si>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</si>
  <si>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Budowa placu z kostki brukowej na boisku wiejskim</t>
  </si>
  <si>
    <t>Organizacja obchodów 100 lecia OSP Gościejewo</t>
  </si>
  <si>
    <t>Pielęgnacja parku wiejskiego</t>
  </si>
  <si>
    <t>Zakup lamp do oświetlenia terenów gminnych</t>
  </si>
  <si>
    <t>Zakup kruszywa oraz utwardzenie dróg gminnych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</si>
  <si>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</si>
  <si>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</si>
  <si>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</si>
  <si>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</si>
  <si>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</si>
  <si>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</si>
  <si>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</si>
  <si>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</si>
  <si>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</si>
  <si>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</si>
  <si>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</si>
  <si>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</si>
  <si>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</si>
  <si>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</si>
  <si>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</si>
  <si>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</si>
  <si>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</si>
  <si>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</si>
  <si>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</si>
  <si>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</si>
  <si>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</si>
  <si>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</si>
  <si>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</si>
  <si>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</si>
  <si>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</si>
  <si>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</si>
  <si>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</si>
  <si>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</si>
  <si>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</si>
  <si>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</si>
  <si>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</si>
  <si>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</si>
  <si>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</si>
  <si>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</si>
  <si>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</si>
  <si>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</si>
  <si>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</si>
  <si>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</si>
  <si>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</si>
  <si>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</si>
  <si>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</si>
  <si>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</si>
  <si>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</si>
  <si>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</si>
  <si>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</si>
  <si>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</si>
  <si>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</si>
  <si>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</si>
  <si>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</si>
  <si>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</si>
  <si>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</si>
  <si>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</si>
  <si>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</si>
  <si>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</si>
  <si>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</si>
  <si>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</si>
  <si>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</si>
  <si>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</si>
  <si>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</si>
  <si>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</si>
  <si>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</si>
  <si>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</si>
  <si>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</si>
  <si>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</si>
  <si>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</si>
  <si>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</si>
  <si>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</si>
  <si>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</si>
  <si>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</si>
  <si>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</si>
  <si>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</si>
  <si>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</si>
  <si>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</si>
  <si>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</si>
  <si>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</si>
  <si>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</si>
  <si>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</si>
  <si>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</si>
  <si>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</si>
  <si>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</si>
  <si>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</si>
  <si>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</si>
  <si>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</si>
  <si>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</si>
  <si>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</si>
  <si>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</si>
  <si>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</si>
  <si>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</si>
  <si>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</si>
  <si>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</si>
  <si>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</si>
  <si>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</si>
  <si>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</si>
  <si>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</si>
  <si>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</si>
  <si>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</si>
  <si>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</si>
  <si>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</si>
  <si>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</si>
  <si>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</si>
  <si>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</si>
  <si>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</si>
  <si>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</si>
  <si>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</si>
  <si>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</si>
  <si>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</si>
  <si>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</si>
  <si>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Organizacja imprez kulturalno sportowych - wynagrodzenie za usługę muzyczną</t>
  </si>
  <si>
    <t>2 X Kb=</t>
  </si>
  <si>
    <t>10 x Kb =</t>
  </si>
  <si>
    <t xml:space="preserve">Razem lepiej i weselej - festyny rodzinne, konkursy
</t>
  </si>
  <si>
    <t>Organizacja imprez kulturalno-sportowych dla dzieci i młodzieży</t>
  </si>
  <si>
    <t>Naprawa i utwardzenie z wyrównaniem dróg gminnych</t>
  </si>
  <si>
    <t>Utrzymanie Sali Centrum Integracji - koszty utrzymania</t>
  </si>
  <si>
    <t>Organizacja imprez integracyjnych, festynów, konkursów</t>
  </si>
  <si>
    <t>4220</t>
  </si>
  <si>
    <t>Zakup środków żywnościowych</t>
  </si>
  <si>
    <t xml:space="preserve">Wspacie Grupy Gospodyń Wiejskich </t>
  </si>
  <si>
    <t>Organizowanie imprez kulturalno –  integracyjnych, propagowanie wydarzeń kulturalnych</t>
  </si>
  <si>
    <t>Zakup usług remontowych</t>
  </si>
  <si>
    <t>Utrzymanie boiska sportowego i plaży wiejskiej</t>
  </si>
  <si>
    <t xml:space="preserve">Utrzymanie boiska sportowego i plaży wiejskiej </t>
  </si>
  <si>
    <t xml:space="preserve">Organizacja imprez kulturalno – sportowych </t>
  </si>
  <si>
    <t>Opłaty zwiazane z działaniem monitoringu w świetlicy oraz przy budynku gospodarczym</t>
  </si>
  <si>
    <t xml:space="preserve">Organizacja imprez o charakterze kulturalno-sportowym </t>
  </si>
  <si>
    <t xml:space="preserve">Utrzymanie świetlicy i terenu wokół oraz wyposażenie kuchni
</t>
  </si>
  <si>
    <t>Adaptacja pomieszczenia po sklepie na magazyn i toalety</t>
  </si>
  <si>
    <t>Imprezy kulturalne dla dzieci, młodzieży i mieszkańców sołectwa</t>
  </si>
  <si>
    <t xml:space="preserve">Organizacja imprez kulturalnych i oświatowych </t>
  </si>
  <si>
    <t>Utrzymanie Sali Centrum Integracji wywóz nieczystości</t>
  </si>
  <si>
    <t>Utrzymanie świetlicy wiejskiej - doposażenie świetlicy wiejskiej</t>
  </si>
  <si>
    <t>Równanie dróg  oraz zakup kruszywa wraz z utwardzeniem drogi</t>
  </si>
  <si>
    <t>Organizacja imprez kulturalno – sportowych</t>
  </si>
  <si>
    <t>Przedsięwzięcia w ramach funduszu sołeckiego na 2022 rok</t>
  </si>
  <si>
    <t>Zakup umundurowania bojowego dla OSP Gościejewo</t>
  </si>
  <si>
    <t>Zakup kruszywa na drogi gminne</t>
  </si>
  <si>
    <t>Zakup lampy na słup energetyczny wraz z montażem</t>
  </si>
  <si>
    <t>Malowanie wiaty</t>
  </si>
  <si>
    <t>Ułożenie kostki przed salą</t>
  </si>
  <si>
    <t>Zakup kamer na teren rekreacyjny przy OSP</t>
  </si>
  <si>
    <t>Projekt boiska sportowego w centrum wsi</t>
  </si>
  <si>
    <t>Zakup lamp solarnych</t>
  </si>
  <si>
    <t>1. Remont drogi gminnej w Słomowie do p. Mazura - 3.000,00 zł,
2. Próg spowalniający przy drodze gminnej w Słomowie - 7.000,00 zł</t>
  </si>
  <si>
    <t>Organizacja festynów wiejskich i zebrań</t>
  </si>
  <si>
    <t>Wielkopolska Odnowa Wsi - pięknieje wielkopolska wieś - montaż placu zabaw i otwartej siłowni na stadionie sportowym w Gościejewie</t>
  </si>
  <si>
    <t xml:space="preserve">Równanie dróg gruntowych </t>
  </si>
  <si>
    <t>Zakup gabloty informacyjnej</t>
  </si>
  <si>
    <t>Zakup dodatkowego elementu placu zabaw w parku wiejskim</t>
  </si>
  <si>
    <t>Wynajem pomieszczenia na świetlicę wiejską oraz jako pomieszczenie do przechowywania zakupionych dotychczas rzeczy</t>
  </si>
  <si>
    <t>Modernizacja budynku Przedszkola</t>
  </si>
  <si>
    <t>1.Utrzymanie zieleni w sołectwie - 5.000,00 zł
2. Czyszczenie stawu - 4.800,00 zł</t>
  </si>
  <si>
    <t>Zakup lampy</t>
  </si>
  <si>
    <t>Wykonanie projektu i budowa oświetlenia w Międzylesiu</t>
  </si>
  <si>
    <t xml:space="preserve">Utrzymanie świetlicy - gospodarz obiektu </t>
  </si>
  <si>
    <t>Opiekun świetlicy</t>
  </si>
  <si>
    <t>Opiekun obiektu - świetlica i teren wokół</t>
  </si>
  <si>
    <t>Utrzymanie świetlicy wiejskiej - wynagrodzenie dla palacza i obsługa świetlicy wiejskiej</t>
  </si>
  <si>
    <t>1. Zakup wyposażenia i bieżące utrzymanie  sali wiejskiej - 2.000,00 zł,
2. Poprawa estetyki i bezpieczeństwa terenu przy amfiteatrze, sali wiejskiej i na stadionie wraz z zagospodarowaniem miejsca rekreacji i sportu- 2.000,00 zł</t>
  </si>
  <si>
    <t xml:space="preserve">Utrzymanie bieżące świetlicy wiejskiej </t>
  </si>
  <si>
    <t>Zakup systemu monitoringu kamer przy świetlicy</t>
  </si>
  <si>
    <t xml:space="preserve">Utrzymanie świelicy zakup opału - 3.500,00 zł
Zakup materialów -2.500,00 zł
</t>
  </si>
  <si>
    <t>Zakup materiałów do wyposażenia namiotu lub pomieszczenia na świetlicę wiejską</t>
  </si>
  <si>
    <t>Nasza świetlica nośnikiem kultury - zakup artykułów żywnościowych</t>
  </si>
  <si>
    <t>Gruntowny remont pomieszczeń magazynowych z przeznaczeniem na świetlicę wiejską</t>
  </si>
  <si>
    <t>Utrzymanie świetlicy wiejskiej</t>
  </si>
  <si>
    <t xml:space="preserve"> Zakup wyposażenia i bieżące utrzymanie  sali wiejskiej </t>
  </si>
  <si>
    <t>Nasza świetlica nośnikiem kultury - opłata za internet</t>
  </si>
  <si>
    <t>Opłaty z tytułu zakupu usług telekomunikacyjnych</t>
  </si>
  <si>
    <t>Budowa szatni na boisku wiejskim - etap II</t>
  </si>
  <si>
    <t>Rozbudowa i utrzymanie infrastruktury na terenie boiska, budowa i wyposażenie sanitariatów, montaż monitoringu na boisku</t>
  </si>
  <si>
    <t xml:space="preserve">1. Organizacja imprez kulturalno – sportowych - 500,00 zł
2. Wydatki reprezentacyjne sołectwa - 1.496,27 zł
3. Zakup strojów dla amatorskiego zespołu muzycznego Gościnianka - 3.000,00 zł
</t>
  </si>
  <si>
    <t>Organizacja imprez kulturalno - sportowych</t>
  </si>
  <si>
    <t xml:space="preserve">Organizacja imprez kulturalno - sportowych 
</t>
  </si>
  <si>
    <t xml:space="preserve">Prace pielęgnacyjne na stadionie sportowym Gościejewo 
</t>
  </si>
  <si>
    <t>Utrzymanie boiska wiejskiego oraz zakup materiałów do wylewki na plac pod koszem do koszykówki</t>
  </si>
  <si>
    <t>Utrzymanie boiska</t>
  </si>
  <si>
    <t>1. Wykończenie wiaty biesiadnej na boisku sportowym  - 6.000,00 zł
2. Prace pielęgnacyjne na boisku sportowym i placu zabaw - 1.000,00 zł</t>
  </si>
  <si>
    <t>Wielkopolska Odnowa Wsi - rozbudowa wiaty i doposażenie placu zabaw -</t>
  </si>
  <si>
    <t xml:space="preserve">Wsparcie OSP Budziszewko </t>
  </si>
  <si>
    <t>1. Utrzymanie porządku terenów zielonych i boiska na terenie sołectwa, 
2. Zakup koszy na odpady</t>
  </si>
  <si>
    <t xml:space="preserve">Utrzymanie terenów zieleni wiejskiej </t>
  </si>
  <si>
    <t>1. Wynagrodzenie  palacza - 4.000,00 zł,
2.  Opiekun świetlicy - 3.500,00 zł</t>
  </si>
  <si>
    <t xml:space="preserve">Nasza świetlica nośnikiem kultury  </t>
  </si>
  <si>
    <t>Wsparcie Stowarzyszenie Natura Budziszewko</t>
  </si>
  <si>
    <t>bieżące</t>
  </si>
  <si>
    <t xml:space="preserve">Rady Miejskiej w Rogoźnie </t>
  </si>
  <si>
    <t>zmiana</t>
  </si>
  <si>
    <t xml:space="preserve">Plan  
</t>
  </si>
  <si>
    <t>Plan po zmianach</t>
  </si>
  <si>
    <t>Wielkopolska Odnow Wsi - budowa placu zabaw w m. Owieczki</t>
  </si>
  <si>
    <t>Przebudowa pomieszczeń magazynowych i ubikacji - stara strażnica</t>
  </si>
  <si>
    <t>Załącznik nr 8 do Uchwały Nr .../…./2022</t>
  </si>
  <si>
    <t>z dnia …………………... 2022 roku</t>
  </si>
  <si>
    <t>Zakup słupów ogłoszeniowych - 4.000,00 zł</t>
  </si>
  <si>
    <t>Wynagrodzeni bezosobowe dla moderatora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</si>
</sst>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#,##0.00_ ;[Red]\-#,##0.00\ "/>
    <numFmt numFmtId="179" formatCode="0.00_ ;[Red]\-0.00\ 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9" fontId="34" fillId="19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5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 vertical="top"/>
    </xf>
    <xf numFmtId="0" fontId="60" fillId="0" borderId="0" xfId="0" applyFont="1" applyAlignment="1">
      <alignment/>
    </xf>
    <xf numFmtId="49" fontId="61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1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/>
    </xf>
    <xf numFmtId="49" fontId="61" fillId="19" borderId="22" xfId="0" applyNumberFormat="1" applyFont="1" applyFill="1" applyBorder="1" applyAlignment="1" applyProtection="1">
      <alignment horizontal="left" vertical="center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2" xfId="0" applyNumberFormat="1" applyFont="1" applyFill="1" applyBorder="1" applyAlignment="1" applyProtection="1">
      <alignment horizontal="left" vertical="center" wrapText="1"/>
      <protection locked="0"/>
    </xf>
    <xf numFmtId="16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49" fontId="58" fillId="19" borderId="21" xfId="0" applyNumberFormat="1" applyFont="1" applyFill="1" applyBorder="1" applyAlignment="1" applyProtection="1">
      <alignment vertical="center" wrapText="1"/>
      <protection locked="0"/>
    </xf>
    <xf numFmtId="49" fontId="6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22" xfId="0" applyNumberFormat="1" applyFont="1" applyFill="1" applyBorder="1" applyAlignment="1" applyProtection="1">
      <alignment horizontal="left" vertical="center" wrapText="1"/>
      <protection locked="0"/>
    </xf>
    <xf numFmtId="49" fontId="64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3" xfId="0" applyNumberFormat="1" applyFont="1" applyFill="1" applyBorder="1" applyAlignment="1" applyProtection="1">
      <alignment vertical="center" wrapText="1"/>
      <protection locked="0"/>
    </xf>
    <xf numFmtId="49" fontId="6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2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37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2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62" fillId="25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57" fillId="19" borderId="3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166" fontId="19" fillId="0" borderId="0" xfId="0" applyNumberFormat="1" applyFont="1" applyBorder="1" applyAlignment="1">
      <alignment horizontal="center" vertical="center"/>
    </xf>
    <xf numFmtId="166" fontId="18" fillId="2" borderId="1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6" fontId="23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0" fillId="0" borderId="0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wrapText="1"/>
    </xf>
    <xf numFmtId="49" fontId="57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34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3" fillId="20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3" xfId="0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>
      <alignment/>
    </xf>
    <xf numFmtId="49" fontId="57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6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27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7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vertical="center" wrapText="1"/>
      <protection locked="0"/>
    </xf>
    <xf numFmtId="49" fontId="62" fillId="25" borderId="23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26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22" borderId="24" xfId="0" applyNumberFormat="1" applyFont="1" applyFill="1" applyBorder="1" applyAlignment="1" applyProtection="1">
      <alignment horizontal="left" vertical="center" wrapText="1"/>
      <protection locked="0"/>
    </xf>
    <xf numFmtId="49" fontId="64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20" borderId="28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4" applyFont="1" applyBorder="1" applyAlignment="1">
      <alignment horizontal="center" vertical="center"/>
      <protection/>
    </xf>
    <xf numFmtId="0" fontId="28" fillId="0" borderId="23" xfId="54" applyFont="1" applyBorder="1" applyAlignment="1">
      <alignment vertical="center"/>
      <protection/>
    </xf>
    <xf numFmtId="0" fontId="39" fillId="0" borderId="23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/>
      <protection/>
    </xf>
    <xf numFmtId="0" fontId="28" fillId="0" borderId="29" xfId="54" applyFont="1" applyBorder="1">
      <alignment/>
      <protection/>
    </xf>
    <xf numFmtId="4" fontId="28" fillId="0" borderId="29" xfId="54" applyNumberFormat="1" applyFont="1" applyBorder="1">
      <alignment/>
      <protection/>
    </xf>
    <xf numFmtId="0" fontId="0" fillId="0" borderId="32" xfId="54" applyBorder="1" applyAlignment="1">
      <alignment horizontal="center"/>
      <protection/>
    </xf>
    <xf numFmtId="0" fontId="40" fillId="0" borderId="32" xfId="54" applyFont="1" applyBorder="1" applyAlignment="1">
      <alignment vertical="top" wrapText="1"/>
      <protection/>
    </xf>
    <xf numFmtId="0" fontId="18" fillId="0" borderId="32" xfId="54" applyFont="1" applyBorder="1">
      <alignment/>
      <protection/>
    </xf>
    <xf numFmtId="4" fontId="40" fillId="0" borderId="32" xfId="54" applyNumberFormat="1" applyFont="1" applyBorder="1" applyAlignment="1">
      <alignment vertical="top"/>
      <protection/>
    </xf>
    <xf numFmtId="4" fontId="40" fillId="0" borderId="32" xfId="54" applyNumberFormat="1" applyFont="1" applyBorder="1" applyAlignment="1">
      <alignment vertical="center"/>
      <protection/>
    </xf>
    <xf numFmtId="0" fontId="18" fillId="0" borderId="32" xfId="54" applyFont="1" applyBorder="1" applyAlignment="1">
      <alignment horizontal="center"/>
      <protection/>
    </xf>
    <xf numFmtId="0" fontId="40" fillId="0" borderId="32" xfId="54" applyFont="1" applyBorder="1" applyAlignment="1">
      <alignment wrapText="1"/>
      <protection/>
    </xf>
    <xf numFmtId="4" fontId="40" fillId="0" borderId="32" xfId="54" applyNumberFormat="1" applyFont="1" applyBorder="1">
      <alignment/>
      <protection/>
    </xf>
    <xf numFmtId="0" fontId="40" fillId="0" borderId="32" xfId="54" applyFont="1" applyBorder="1">
      <alignment/>
      <protection/>
    </xf>
    <xf numFmtId="0" fontId="28" fillId="0" borderId="29" xfId="54" applyFont="1" applyBorder="1" applyAlignment="1">
      <alignment wrapText="1"/>
      <protection/>
    </xf>
    <xf numFmtId="4" fontId="28" fillId="0" borderId="29" xfId="54" applyNumberFormat="1" applyFont="1" applyBorder="1" applyAlignment="1">
      <alignment vertical="center"/>
      <protection/>
    </xf>
    <xf numFmtId="0" fontId="40" fillId="0" borderId="32" xfId="54" applyFont="1" applyBorder="1" applyAlignment="1">
      <alignment vertical="top"/>
      <protection/>
    </xf>
    <xf numFmtId="0" fontId="40" fillId="0" borderId="0" xfId="53" applyFont="1" applyAlignment="1">
      <alignment wrapText="1"/>
      <protection/>
    </xf>
    <xf numFmtId="4" fontId="23" fillId="0" borderId="32" xfId="54" applyNumberFormat="1" applyFont="1" applyBorder="1">
      <alignment/>
      <protection/>
    </xf>
    <xf numFmtId="4" fontId="40" fillId="0" borderId="32" xfId="54" applyNumberFormat="1" applyFont="1" applyBorder="1" applyAlignment="1">
      <alignment vertical="top" wrapText="1"/>
      <protection/>
    </xf>
    <xf numFmtId="0" fontId="0" fillId="0" borderId="24" xfId="54" applyBorder="1" applyAlignment="1">
      <alignment horizontal="center"/>
      <protection/>
    </xf>
    <xf numFmtId="0" fontId="40" fillId="0" borderId="24" xfId="54" applyFont="1" applyBorder="1" applyAlignment="1">
      <alignment vertical="top"/>
      <protection/>
    </xf>
    <xf numFmtId="4" fontId="40" fillId="0" borderId="24" xfId="54" applyNumberFormat="1" applyFont="1" applyBorder="1" applyAlignment="1">
      <alignment vertical="top"/>
      <protection/>
    </xf>
    <xf numFmtId="0" fontId="40" fillId="0" borderId="32" xfId="54" applyFont="1" applyBorder="1" applyAlignment="1">
      <alignment horizontal="center"/>
      <protection/>
    </xf>
    <xf numFmtId="0" fontId="40" fillId="0" borderId="24" xfId="54" applyFont="1" applyBorder="1">
      <alignment/>
      <protection/>
    </xf>
    <xf numFmtId="0" fontId="41" fillId="0" borderId="24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0" fontId="40" fillId="0" borderId="24" xfId="54" applyFont="1" applyBorder="1" applyAlignment="1">
      <alignment horizontal="center"/>
      <protection/>
    </xf>
    <xf numFmtId="4" fontId="23" fillId="0" borderId="32" xfId="54" applyNumberFormat="1" applyFont="1" applyBorder="1" applyAlignment="1">
      <alignment vertical="top"/>
      <protection/>
    </xf>
    <xf numFmtId="0" fontId="40" fillId="0" borderId="32" xfId="55" applyFont="1" applyBorder="1" applyAlignment="1">
      <alignment vertical="top" wrapText="1"/>
      <protection/>
    </xf>
    <xf numFmtId="0" fontId="0" fillId="0" borderId="32" xfId="54" applyBorder="1" applyAlignment="1">
      <alignment horizontal="center" vertical="top"/>
      <protection/>
    </xf>
    <xf numFmtId="0" fontId="40" fillId="0" borderId="32" xfId="54" applyFont="1" applyBorder="1" applyAlignment="1">
      <alignment horizontal="center" vertical="top"/>
      <protection/>
    </xf>
    <xf numFmtId="0" fontId="0" fillId="0" borderId="32" xfId="54" applyFont="1" applyBorder="1" applyAlignment="1">
      <alignment horizontal="center" vertical="top"/>
      <protection/>
    </xf>
    <xf numFmtId="0" fontId="0" fillId="0" borderId="24" xfId="54" applyBorder="1" applyAlignment="1">
      <alignment horizontal="center" vertical="top"/>
      <protection/>
    </xf>
    <xf numFmtId="0" fontId="40" fillId="0" borderId="24" xfId="54" applyFont="1" applyBorder="1" applyAlignment="1">
      <alignment vertical="top" wrapText="1"/>
      <protection/>
    </xf>
    <xf numFmtId="0" fontId="40" fillId="0" borderId="24" xfId="54" applyFont="1" applyBorder="1" applyAlignment="1">
      <alignment horizontal="center" vertical="top"/>
      <protection/>
    </xf>
    <xf numFmtId="0" fontId="23" fillId="0" borderId="32" xfId="54" applyFont="1" applyBorder="1" applyAlignment="1">
      <alignment vertical="top" wrapText="1"/>
      <protection/>
    </xf>
    <xf numFmtId="0" fontId="40" fillId="0" borderId="0" xfId="53" applyFont="1">
      <alignment/>
      <protection/>
    </xf>
    <xf numFmtId="0" fontId="23" fillId="0" borderId="37" xfId="53" applyFont="1" applyBorder="1">
      <alignment/>
      <protection/>
    </xf>
    <xf numFmtId="4" fontId="23" fillId="0" borderId="32" xfId="53" applyNumberFormat="1" applyFont="1" applyBorder="1">
      <alignment/>
      <protection/>
    </xf>
    <xf numFmtId="0" fontId="23" fillId="0" borderId="32" xfId="54" applyFont="1" applyBorder="1" applyAlignment="1">
      <alignment horizontal="center"/>
      <protection/>
    </xf>
    <xf numFmtId="0" fontId="23" fillId="0" borderId="32" xfId="54" applyFont="1" applyBorder="1" applyAlignment="1">
      <alignment horizontal="center" vertical="top"/>
      <protection/>
    </xf>
    <xf numFmtId="0" fontId="32" fillId="0" borderId="38" xfId="54" applyFont="1" applyBorder="1" applyAlignment="1">
      <alignment horizontal="center"/>
      <protection/>
    </xf>
    <xf numFmtId="0" fontId="43" fillId="0" borderId="38" xfId="54" applyFont="1" applyBorder="1" applyAlignment="1">
      <alignment horizontal="right"/>
      <protection/>
    </xf>
    <xf numFmtId="0" fontId="43" fillId="0" borderId="38" xfId="54" applyFont="1" applyBorder="1" applyAlignment="1">
      <alignment horizontal="center"/>
      <protection/>
    </xf>
    <xf numFmtId="4" fontId="43" fillId="0" borderId="38" xfId="54" applyNumberFormat="1" applyFont="1" applyBorder="1">
      <alignment/>
      <protection/>
    </xf>
    <xf numFmtId="0" fontId="0" fillId="0" borderId="0" xfId="53">
      <alignment/>
      <protection/>
    </xf>
    <xf numFmtId="0" fontId="29" fillId="0" borderId="0" xfId="54" applyFont="1" applyBorder="1" applyAlignment="1">
      <alignment/>
      <protection/>
    </xf>
    <xf numFmtId="0" fontId="36" fillId="0" borderId="0" xfId="54" applyFont="1" applyBorder="1" applyAlignment="1">
      <alignment vertical="center" wrapText="1"/>
      <protection/>
    </xf>
    <xf numFmtId="0" fontId="28" fillId="0" borderId="32" xfId="54" applyFont="1" applyBorder="1" applyAlignment="1">
      <alignment horizontal="center"/>
      <protection/>
    </xf>
    <xf numFmtId="164" fontId="68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49" fontId="67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0" xfId="0" applyNumberFormat="1" applyFont="1" applyFill="1" applyBorder="1" applyAlignment="1" applyProtection="1">
      <alignment vertical="center" wrapText="1"/>
      <protection locked="0"/>
    </xf>
    <xf numFmtId="49" fontId="57" fillId="19" borderId="39" xfId="0" applyNumberFormat="1" applyFont="1" applyFill="1" applyBorder="1" applyAlignment="1" applyProtection="1">
      <alignment vertical="center" wrapText="1"/>
      <protection locked="0"/>
    </xf>
    <xf numFmtId="49" fontId="57" fillId="19" borderId="32" xfId="0" applyNumberFormat="1" applyFont="1" applyFill="1" applyBorder="1" applyAlignment="1" applyProtection="1">
      <alignment vertical="center" wrapText="1"/>
      <protection locked="0"/>
    </xf>
    <xf numFmtId="49" fontId="62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34" xfId="0" applyNumberFormat="1" applyFont="1" applyFill="1" applyBorder="1" applyAlignment="1" applyProtection="1">
      <alignment horizontal="left" vertical="center" wrapText="1"/>
      <protection locked="0"/>
    </xf>
    <xf numFmtId="49" fontId="58" fillId="19" borderId="24" xfId="0" applyNumberFormat="1" applyFont="1" applyFill="1" applyBorder="1" applyAlignment="1" applyProtection="1">
      <alignment vertical="center" wrapText="1"/>
      <protection locked="0"/>
    </xf>
    <xf numFmtId="49" fontId="37" fillId="19" borderId="28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40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19" borderId="22" xfId="0" applyNumberFormat="1" applyFont="1" applyFill="1" applyBorder="1" applyAlignment="1" applyProtection="1">
      <alignment horizontal="left" wrapText="1"/>
      <protection locked="0"/>
    </xf>
    <xf numFmtId="49" fontId="37" fillId="19" borderId="22" xfId="0" applyNumberFormat="1" applyFont="1" applyFill="1" applyBorder="1" applyAlignment="1" applyProtection="1">
      <alignment horizontal="left" vertical="top" wrapText="1"/>
      <protection locked="0"/>
    </xf>
    <xf numFmtId="49" fontId="62" fillId="19" borderId="41" xfId="0" applyNumberFormat="1" applyFont="1" applyFill="1" applyBorder="1" applyAlignment="1" applyProtection="1">
      <alignment horizontal="center" vertical="center" wrapText="1"/>
      <protection locked="0"/>
    </xf>
    <xf numFmtId="164" fontId="34" fillId="19" borderId="4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top"/>
    </xf>
    <xf numFmtId="49" fontId="58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4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4" fillId="19" borderId="43" xfId="0" applyNumberFormat="1" applyFont="1" applyFill="1" applyBorder="1" applyAlignment="1" applyProtection="1">
      <alignment horizontal="center" vertical="center" wrapText="1"/>
      <protection locked="0"/>
    </xf>
    <xf numFmtId="49" fontId="62" fillId="25" borderId="25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44" xfId="0" applyFont="1" applyBorder="1" applyAlignment="1">
      <alignment vertical="top" wrapText="1"/>
    </xf>
    <xf numFmtId="49" fontId="62" fillId="19" borderId="44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45" xfId="0" applyNumberFormat="1" applyFont="1" applyFill="1" applyBorder="1" applyAlignment="1" applyProtection="1">
      <alignment horizontal="left" vertical="center" wrapText="1"/>
      <protection locked="0"/>
    </xf>
    <xf numFmtId="4" fontId="62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62" fillId="25" borderId="23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3" xfId="0" applyNumberFormat="1" applyFont="1" applyFill="1" applyBorder="1" applyAlignment="1" applyProtection="1">
      <alignment horizontal="right" vertical="center" wrapText="1"/>
      <protection locked="0"/>
    </xf>
    <xf numFmtId="4" fontId="62" fillId="21" borderId="28" xfId="0" applyNumberFormat="1" applyFont="1" applyFill="1" applyBorder="1" applyAlignment="1" applyProtection="1">
      <alignment horizontal="right" vertical="center" wrapText="1"/>
      <protection locked="0"/>
    </xf>
    <xf numFmtId="4" fontId="62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62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7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34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1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4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46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7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5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66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3" xfId="0" applyNumberFormat="1" applyFont="1" applyBorder="1" applyAlignment="1">
      <alignment horizontal="right" vertical="center" wrapText="1"/>
    </xf>
    <xf numFmtId="49" fontId="66" fillId="23" borderId="0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47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33" xfId="0" applyNumberFormat="1" applyFont="1" applyFill="1" applyBorder="1" applyAlignment="1" applyProtection="1">
      <alignment horizontal="center" vertical="center" wrapText="1"/>
      <protection locked="0"/>
    </xf>
    <xf numFmtId="49" fontId="63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45" xfId="0" applyNumberFormat="1" applyFont="1" applyFill="1" applyBorder="1" applyAlignment="1" applyProtection="1">
      <alignment horizontal="left" vertical="center" wrapText="1"/>
      <protection locked="0"/>
    </xf>
    <xf numFmtId="4" fontId="62" fillId="20" borderId="23" xfId="0" applyNumberFormat="1" applyFont="1" applyFill="1" applyBorder="1" applyAlignment="1" applyProtection="1">
      <alignment horizontal="right" vertical="center" wrapText="1"/>
      <protection locked="0"/>
    </xf>
    <xf numFmtId="4" fontId="62" fillId="19" borderId="28" xfId="0" applyNumberFormat="1" applyFont="1" applyFill="1" applyBorder="1" applyAlignment="1" applyProtection="1">
      <alignment horizontal="right" vertical="center" wrapText="1"/>
      <protection locked="0"/>
    </xf>
    <xf numFmtId="49" fontId="61" fillId="19" borderId="48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4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3" xfId="0" applyNumberFormat="1" applyBorder="1" applyAlignment="1">
      <alignment vertical="center" wrapText="1"/>
    </xf>
    <xf numFmtId="164" fontId="68" fillId="0" borderId="47" xfId="0" applyNumberFormat="1" applyFont="1" applyBorder="1" applyAlignment="1">
      <alignment vertical="center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32" xfId="0" applyNumberFormat="1" applyFont="1" applyFill="1" applyBorder="1" applyAlignment="1" applyProtection="1">
      <alignment horizontal="center" vertical="top" wrapText="1"/>
      <protection locked="0"/>
    </xf>
    <xf numFmtId="49" fontId="62" fillId="19" borderId="23" xfId="0" applyNumberFormat="1" applyFont="1" applyFill="1" applyBorder="1" applyAlignment="1" applyProtection="1">
      <alignment horizontal="center" vertical="top" wrapText="1"/>
      <protection locked="0"/>
    </xf>
    <xf numFmtId="49" fontId="37" fillId="19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vertical="center" wrapText="1"/>
    </xf>
    <xf numFmtId="4" fontId="18" fillId="0" borderId="23" xfId="0" applyNumberFormat="1" applyFont="1" applyBorder="1" applyAlignment="1">
      <alignment vertical="center"/>
    </xf>
    <xf numFmtId="49" fontId="61" fillId="19" borderId="50" xfId="0" applyNumberFormat="1" applyFont="1" applyFill="1" applyBorder="1" applyAlignment="1" applyProtection="1">
      <alignment horizontal="center" vertical="center" wrapText="1"/>
      <protection locked="0"/>
    </xf>
    <xf numFmtId="49" fontId="61" fillId="23" borderId="51" xfId="0" applyNumberFormat="1" applyFont="1" applyFill="1" applyBorder="1" applyAlignment="1" applyProtection="1">
      <alignment horizontal="left" vertical="center" wrapText="1"/>
      <protection locked="0"/>
    </xf>
    <xf numFmtId="4" fontId="61" fillId="23" borderId="29" xfId="0" applyNumberFormat="1" applyFont="1" applyFill="1" applyBorder="1" applyAlignment="1" applyProtection="1">
      <alignment horizontal="right" vertical="center" wrapText="1"/>
      <protection locked="0"/>
    </xf>
    <xf numFmtId="49" fontId="62" fillId="21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2" fillId="23" borderId="29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33" xfId="0" applyNumberFormat="1" applyFont="1" applyFill="1" applyBorder="1" applyAlignment="1" applyProtection="1">
      <alignment horizontal="right" vertical="center" wrapText="1"/>
      <protection locked="0"/>
    </xf>
    <xf numFmtId="49" fontId="61" fillId="19" borderId="22" xfId="0" applyNumberFormat="1" applyFont="1" applyFill="1" applyBorder="1" applyAlignment="1" applyProtection="1">
      <alignment horizontal="left" wrapText="1"/>
      <protection locked="0"/>
    </xf>
    <xf numFmtId="49" fontId="62" fillId="21" borderId="20" xfId="0" applyNumberFormat="1" applyFont="1" applyFill="1" applyBorder="1" applyAlignment="1" applyProtection="1">
      <alignment horizontal="center" vertical="center" wrapText="1"/>
      <protection locked="0"/>
    </xf>
    <xf numFmtId="49" fontId="62" fillId="21" borderId="20" xfId="0" applyNumberFormat="1" applyFont="1" applyFill="1" applyBorder="1" applyAlignment="1" applyProtection="1">
      <alignment horizontal="left" vertical="center" wrapText="1"/>
      <protection locked="0"/>
    </xf>
    <xf numFmtId="49" fontId="37" fillId="19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178" fontId="38" fillId="21" borderId="22" xfId="0" applyNumberFormat="1" applyFont="1" applyFill="1" applyBorder="1" applyAlignment="1" applyProtection="1">
      <alignment horizontal="right" vertical="center" wrapText="1"/>
      <protection locked="0"/>
    </xf>
    <xf numFmtId="4" fontId="62" fillId="24" borderId="28" xfId="0" applyNumberFormat="1" applyFont="1" applyFill="1" applyBorder="1" applyAlignment="1" applyProtection="1">
      <alignment horizontal="right" vertical="center" wrapText="1"/>
      <protection locked="0"/>
    </xf>
    <xf numFmtId="4" fontId="61" fillId="19" borderId="52" xfId="0" applyNumberFormat="1" applyFont="1" applyFill="1" applyBorder="1" applyAlignment="1" applyProtection="1">
      <alignment horizontal="right" vertical="center" wrapText="1"/>
      <protection locked="0"/>
    </xf>
    <xf numFmtId="4" fontId="62" fillId="21" borderId="45" xfId="0" applyNumberFormat="1" applyFont="1" applyFill="1" applyBorder="1" applyAlignment="1" applyProtection="1">
      <alignment horizontal="right" vertical="center" wrapText="1"/>
      <protection locked="0"/>
    </xf>
    <xf numFmtId="179" fontId="38" fillId="21" borderId="23" xfId="0" applyNumberFormat="1" applyFont="1" applyFill="1" applyBorder="1" applyAlignment="1" applyProtection="1">
      <alignment horizontal="right" vertical="center" wrapText="1"/>
      <protection locked="0"/>
    </xf>
    <xf numFmtId="179" fontId="38" fillId="20" borderId="28" xfId="0" applyNumberFormat="1" applyFont="1" applyFill="1" applyBorder="1" applyAlignment="1" applyProtection="1">
      <alignment horizontal="right" vertical="center" wrapText="1"/>
      <protection locked="0"/>
    </xf>
    <xf numFmtId="179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61" fillId="19" borderId="22" xfId="0" applyNumberFormat="1" applyFont="1" applyFill="1" applyBorder="1" applyAlignment="1" applyProtection="1">
      <alignment horizontal="right" vertical="center" wrapText="1"/>
      <protection locked="0"/>
    </xf>
    <xf numFmtId="179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179" fontId="62" fillId="21" borderId="22" xfId="0" applyNumberFormat="1" applyFont="1" applyFill="1" applyBorder="1" applyAlignment="1" applyProtection="1">
      <alignment horizontal="right" vertical="center" wrapText="1"/>
      <protection locked="0"/>
    </xf>
    <xf numFmtId="179" fontId="61" fillId="23" borderId="22" xfId="0" applyNumberFormat="1" applyFont="1" applyFill="1" applyBorder="1" applyAlignment="1" applyProtection="1">
      <alignment horizontal="right" vertical="center" wrapText="1"/>
      <protection locked="0"/>
    </xf>
    <xf numFmtId="179" fontId="38" fillId="25" borderId="23" xfId="0" applyNumberFormat="1" applyFont="1" applyFill="1" applyBorder="1" applyAlignment="1" applyProtection="1">
      <alignment horizontal="right" vertical="center" wrapText="1"/>
      <protection locked="0"/>
    </xf>
    <xf numFmtId="179" fontId="38" fillId="22" borderId="24" xfId="0" applyNumberFormat="1" applyFont="1" applyFill="1" applyBorder="1" applyAlignment="1" applyProtection="1">
      <alignment horizontal="right" vertical="center" wrapText="1"/>
      <protection locked="0"/>
    </xf>
    <xf numFmtId="179" fontId="38" fillId="19" borderId="35" xfId="0" applyNumberFormat="1" applyFont="1" applyFill="1" applyBorder="1" applyAlignment="1" applyProtection="1">
      <alignment horizontal="right" vertical="center" wrapText="1"/>
      <protection locked="0"/>
    </xf>
    <xf numFmtId="179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1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4" fontId="38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38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3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53" xfId="0" applyNumberFormat="1" applyFont="1" applyFill="1" applyBorder="1" applyAlignment="1" applyProtection="1">
      <alignment horizontal="right" vertical="center" wrapText="1"/>
      <protection locked="0"/>
    </xf>
    <xf numFmtId="178" fontId="38" fillId="20" borderId="26" xfId="0" applyNumberFormat="1" applyFont="1" applyFill="1" applyBorder="1" applyAlignment="1" applyProtection="1">
      <alignment horizontal="right" vertical="center" wrapText="1"/>
      <protection locked="0"/>
    </xf>
    <xf numFmtId="178" fontId="62" fillId="19" borderId="22" xfId="0" applyNumberFormat="1" applyFont="1" applyFill="1" applyBorder="1" applyAlignment="1" applyProtection="1">
      <alignment horizontal="right" vertical="center" wrapText="1"/>
      <protection locked="0"/>
    </xf>
    <xf numFmtId="178" fontId="62" fillId="20" borderId="22" xfId="0" applyNumberFormat="1" applyFont="1" applyFill="1" applyBorder="1" applyAlignment="1" applyProtection="1">
      <alignment horizontal="right" vertical="center" wrapText="1"/>
      <protection locked="0"/>
    </xf>
    <xf numFmtId="178" fontId="38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23" borderId="22" xfId="0" applyNumberFormat="1" applyFont="1" applyFill="1" applyBorder="1" applyAlignment="1" applyProtection="1">
      <alignment horizontal="right" vertical="center" wrapText="1"/>
      <protection locked="0"/>
    </xf>
    <xf numFmtId="178" fontId="37" fillId="19" borderId="26" xfId="0" applyNumberFormat="1" applyFont="1" applyFill="1" applyBorder="1" applyAlignment="1" applyProtection="1">
      <alignment horizontal="right" vertical="center" wrapText="1"/>
      <protection locked="0"/>
    </xf>
    <xf numFmtId="178" fontId="61" fillId="19" borderId="26" xfId="0" applyNumberFormat="1" applyFont="1" applyFill="1" applyBorder="1" applyAlignment="1" applyProtection="1">
      <alignment horizontal="right" vertical="center" wrapText="1"/>
      <protection locked="0"/>
    </xf>
    <xf numFmtId="49" fontId="61" fillId="19" borderId="27" xfId="0" applyNumberFormat="1" applyFont="1" applyFill="1" applyBorder="1" applyAlignment="1" applyProtection="1">
      <alignment horizontal="left" vertical="center" wrapText="1"/>
      <protection locked="0"/>
    </xf>
    <xf numFmtId="164" fontId="61" fillId="19" borderId="27" xfId="0" applyNumberFormat="1" applyFont="1" applyFill="1" applyBorder="1" applyAlignment="1" applyProtection="1">
      <alignment horizontal="right" vertical="center" wrapText="1"/>
      <protection locked="0"/>
    </xf>
    <xf numFmtId="178" fontId="61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62" fillId="20" borderId="28" xfId="0" applyNumberFormat="1" applyFont="1" applyFill="1" applyBorder="1" applyAlignment="1" applyProtection="1">
      <alignment horizontal="left" vertical="center" wrapText="1"/>
      <protection locked="0"/>
    </xf>
    <xf numFmtId="164" fontId="62" fillId="20" borderId="28" xfId="0" applyNumberFormat="1" applyFont="1" applyFill="1" applyBorder="1" applyAlignment="1" applyProtection="1">
      <alignment horizontal="right" vertical="center" wrapText="1"/>
      <protection locked="0"/>
    </xf>
    <xf numFmtId="178" fontId="61" fillId="19" borderId="23" xfId="0" applyNumberFormat="1" applyFont="1" applyFill="1" applyBorder="1" applyAlignment="1" applyProtection="1">
      <alignment horizontal="right" vertical="center" wrapText="1"/>
      <protection locked="0"/>
    </xf>
    <xf numFmtId="49" fontId="65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7" xfId="0" applyNumberFormat="1" applyFont="1" applyFill="1" applyBorder="1" applyAlignment="1" applyProtection="1">
      <alignment horizontal="center" vertical="center" wrapText="1"/>
      <protection locked="0"/>
    </xf>
    <xf numFmtId="49" fontId="62" fillId="20" borderId="27" xfId="0" applyNumberFormat="1" applyFont="1" applyFill="1" applyBorder="1" applyAlignment="1" applyProtection="1">
      <alignment horizontal="left" vertical="center" wrapText="1"/>
      <protection locked="0"/>
    </xf>
    <xf numFmtId="4" fontId="62" fillId="20" borderId="27" xfId="0" applyNumberFormat="1" applyFont="1" applyFill="1" applyBorder="1" applyAlignment="1" applyProtection="1">
      <alignment horizontal="right" vertical="center" wrapText="1"/>
      <protection locked="0"/>
    </xf>
    <xf numFmtId="49" fontId="62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8" xfId="0" applyNumberFormat="1" applyFont="1" applyFill="1" applyBorder="1" applyAlignment="1" applyProtection="1">
      <alignment horizontal="left" vertical="center" wrapText="1"/>
      <protection locked="0"/>
    </xf>
    <xf numFmtId="179" fontId="62" fillId="23" borderId="28" xfId="0" applyNumberFormat="1" applyFont="1" applyFill="1" applyBorder="1" applyAlignment="1" applyProtection="1">
      <alignment horizontal="right" vertical="center" wrapText="1"/>
      <protection locked="0"/>
    </xf>
    <xf numFmtId="49" fontId="64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3" fillId="23" borderId="23" xfId="0" applyNumberFormat="1" applyFont="1" applyFill="1" applyBorder="1" applyAlignment="1" applyProtection="1">
      <alignment horizontal="center" vertical="center" wrapText="1"/>
      <protection locked="0"/>
    </xf>
    <xf numFmtId="4" fontId="62" fillId="23" borderId="23" xfId="0" applyNumberFormat="1" applyFont="1" applyFill="1" applyBorder="1" applyAlignment="1" applyProtection="1">
      <alignment horizontal="right" vertical="center" wrapText="1"/>
      <protection locked="0"/>
    </xf>
    <xf numFmtId="49" fontId="65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3" xfId="0" applyNumberFormat="1" applyFont="1" applyFill="1" applyBorder="1" applyAlignment="1" applyProtection="1">
      <alignment horizontal="left" vertical="center" wrapText="1"/>
      <protection locked="0"/>
    </xf>
    <xf numFmtId="4" fontId="66" fillId="23" borderId="23" xfId="0" applyNumberFormat="1" applyFont="1" applyFill="1" applyBorder="1" applyAlignment="1" applyProtection="1">
      <alignment horizontal="right" vertical="center" wrapText="1"/>
      <protection locked="0"/>
    </xf>
    <xf numFmtId="179" fontId="66" fillId="23" borderId="2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177" fontId="20" fillId="0" borderId="1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6" fontId="21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49" fontId="58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9" fontId="38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3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57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9" fillId="19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/>
    </xf>
    <xf numFmtId="0" fontId="68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164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49" fontId="58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58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62" fillId="2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49" fontId="64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9" fillId="0" borderId="0" xfId="54" applyFont="1" applyBorder="1" applyAlignment="1">
      <alignment horizontal="right"/>
      <protection/>
    </xf>
    <xf numFmtId="0" fontId="36" fillId="0" borderId="39" xfId="54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Normalny_Przedsiewzięcia FS Zbiorcze 2" xfId="54"/>
    <cellStyle name="Normalny_załaczniki maj_sołectwa - podział środków 201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89" t="s">
        <v>0</v>
      </c>
      <c r="B1" s="389"/>
      <c r="C1" s="389"/>
      <c r="D1" s="389"/>
      <c r="E1" s="389"/>
      <c r="F1" s="389"/>
      <c r="G1" s="389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86" t="s">
        <v>11</v>
      </c>
      <c r="B7" s="386"/>
      <c r="C7" s="10">
        <v>199</v>
      </c>
      <c r="D7" s="390"/>
      <c r="E7" s="391"/>
      <c r="F7" s="387"/>
      <c r="G7" s="388"/>
    </row>
    <row r="8" spans="1:7" ht="12.75" customHeight="1">
      <c r="A8" s="386" t="s">
        <v>12</v>
      </c>
      <c r="B8" s="386"/>
      <c r="C8" s="9">
        <v>84</v>
      </c>
      <c r="D8" s="390"/>
      <c r="E8" s="391"/>
      <c r="F8" s="387"/>
      <c r="G8" s="388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86" t="s">
        <v>14</v>
      </c>
      <c r="B10" s="386"/>
      <c r="C10" s="9">
        <v>664</v>
      </c>
      <c r="D10" s="387"/>
      <c r="E10" s="387"/>
      <c r="F10" s="387"/>
      <c r="G10" s="388"/>
    </row>
    <row r="11" spans="1:7" ht="12.75" customHeight="1">
      <c r="A11" s="386" t="s">
        <v>15</v>
      </c>
      <c r="B11" s="386"/>
      <c r="C11" s="9">
        <v>0</v>
      </c>
      <c r="D11" s="387"/>
      <c r="E11" s="387"/>
      <c r="F11" s="387"/>
      <c r="G11" s="388"/>
    </row>
    <row r="12" spans="1:7" ht="12.75" customHeight="1">
      <c r="A12" s="386" t="s">
        <v>16</v>
      </c>
      <c r="B12" s="386"/>
      <c r="C12" s="9">
        <v>-1</v>
      </c>
      <c r="D12" s="387"/>
      <c r="E12" s="387"/>
      <c r="F12" s="387"/>
      <c r="G12" s="388"/>
    </row>
    <row r="13" spans="1:7" ht="12.75" customHeight="1">
      <c r="A13" s="386" t="s">
        <v>17</v>
      </c>
      <c r="B13" s="386"/>
      <c r="C13" s="9">
        <v>-5</v>
      </c>
      <c r="D13" s="387"/>
      <c r="E13" s="387"/>
      <c r="F13" s="387"/>
      <c r="G13" s="388"/>
    </row>
    <row r="14" spans="1:7" ht="12.75" customHeight="1">
      <c r="A14" s="386" t="s">
        <v>18</v>
      </c>
      <c r="B14" s="386"/>
      <c r="C14" s="9">
        <v>-5</v>
      </c>
      <c r="D14" s="387"/>
      <c r="E14" s="387"/>
      <c r="F14" s="387"/>
      <c r="G14" s="388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86" t="s">
        <v>20</v>
      </c>
      <c r="B16" s="386"/>
      <c r="C16" s="9">
        <v>229</v>
      </c>
      <c r="D16" s="387"/>
      <c r="E16" s="387"/>
      <c r="F16" s="387"/>
      <c r="G16" s="388"/>
    </row>
    <row r="17" spans="1:7" ht="12.75" customHeight="1">
      <c r="A17" s="386" t="s">
        <v>21</v>
      </c>
      <c r="B17" s="386"/>
      <c r="C17" s="9">
        <v>53</v>
      </c>
      <c r="D17" s="387"/>
      <c r="E17" s="387"/>
      <c r="F17" s="387"/>
      <c r="G17" s="388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86" t="s">
        <v>23</v>
      </c>
      <c r="B19" s="386"/>
      <c r="C19" s="9">
        <v>118</v>
      </c>
      <c r="D19" s="387"/>
      <c r="E19" s="387"/>
      <c r="F19" s="387"/>
      <c r="G19" s="388"/>
    </row>
    <row r="20" spans="1:7" ht="12.75" customHeight="1">
      <c r="A20" s="386" t="s">
        <v>24</v>
      </c>
      <c r="B20" s="386"/>
      <c r="C20" s="9">
        <v>11</v>
      </c>
      <c r="D20" s="387"/>
      <c r="E20" s="387"/>
      <c r="F20" s="387"/>
      <c r="G20" s="388"/>
    </row>
    <row r="21" spans="1:7" ht="12.75" customHeight="1">
      <c r="A21" s="386" t="s">
        <v>25</v>
      </c>
      <c r="B21" s="386"/>
      <c r="C21" s="9">
        <f>18+8</f>
        <v>26</v>
      </c>
      <c r="D21" s="387"/>
      <c r="E21" s="387"/>
      <c r="F21" s="387"/>
      <c r="G21" s="388"/>
    </row>
    <row r="22" spans="1:7" ht="12.75" customHeight="1">
      <c r="A22" s="386" t="s">
        <v>26</v>
      </c>
      <c r="B22" s="386"/>
      <c r="C22" s="9">
        <v>12</v>
      </c>
      <c r="D22" s="387"/>
      <c r="E22" s="387"/>
      <c r="F22" s="387"/>
      <c r="G22" s="388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86" t="s">
        <v>28</v>
      </c>
      <c r="B24" s="386"/>
      <c r="C24" s="9">
        <v>76</v>
      </c>
      <c r="D24" s="387"/>
      <c r="E24" s="387"/>
      <c r="F24" s="387"/>
      <c r="G24" s="388"/>
    </row>
    <row r="25" spans="1:7" ht="12.75" customHeight="1">
      <c r="A25" s="386" t="s">
        <v>29</v>
      </c>
      <c r="B25" s="386"/>
      <c r="C25" s="9">
        <v>198</v>
      </c>
      <c r="D25" s="387"/>
      <c r="E25" s="387"/>
      <c r="F25" s="387"/>
      <c r="G25" s="388"/>
    </row>
    <row r="26" spans="1:7" ht="12.75" customHeight="1">
      <c r="A26" s="386" t="s">
        <v>30</v>
      </c>
      <c r="B26" s="386"/>
      <c r="C26" s="9">
        <v>134</v>
      </c>
      <c r="D26" s="387"/>
      <c r="E26" s="387"/>
      <c r="F26" s="387"/>
      <c r="G26" s="388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86" t="s">
        <v>34</v>
      </c>
      <c r="B30" s="386"/>
      <c r="C30" s="9">
        <v>250</v>
      </c>
      <c r="D30" s="388"/>
      <c r="E30" s="388"/>
      <c r="F30" s="388"/>
      <c r="G30" s="388"/>
    </row>
    <row r="31" spans="1:7" ht="12.75">
      <c r="A31" s="386" t="s">
        <v>35</v>
      </c>
      <c r="B31" s="386"/>
      <c r="C31" s="9">
        <v>149</v>
      </c>
      <c r="D31" s="388"/>
      <c r="E31" s="388"/>
      <c r="F31" s="388"/>
      <c r="G31" s="388"/>
    </row>
    <row r="32" spans="1:7" ht="12.75">
      <c r="A32" s="386" t="s">
        <v>36</v>
      </c>
      <c r="B32" s="386"/>
      <c r="C32" s="9">
        <v>14</v>
      </c>
      <c r="D32" s="388"/>
      <c r="E32" s="388"/>
      <c r="F32" s="388"/>
      <c r="G32" s="388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86" t="s">
        <v>38</v>
      </c>
      <c r="B34" s="386"/>
      <c r="C34" s="9">
        <v>238</v>
      </c>
      <c r="D34" s="387"/>
      <c r="E34" s="387"/>
      <c r="F34" s="387"/>
      <c r="G34" s="388"/>
    </row>
    <row r="35" spans="1:7" ht="12.75">
      <c r="A35" s="386" t="s">
        <v>25</v>
      </c>
      <c r="B35" s="386"/>
      <c r="C35" s="9">
        <f>-(18+8)</f>
        <v>-26</v>
      </c>
      <c r="D35" s="387"/>
      <c r="E35" s="387"/>
      <c r="F35" s="387"/>
      <c r="G35" s="388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86" t="s">
        <v>40</v>
      </c>
      <c r="B37" s="386"/>
      <c r="C37" s="9">
        <v>1047</v>
      </c>
      <c r="D37" s="387"/>
      <c r="E37" s="387"/>
      <c r="F37" s="387"/>
      <c r="G37" s="388"/>
    </row>
    <row r="38" spans="1:7" ht="12.75">
      <c r="A38" s="386" t="s">
        <v>41</v>
      </c>
      <c r="B38" s="386"/>
      <c r="C38" s="9">
        <v>112</v>
      </c>
      <c r="D38" s="387"/>
      <c r="E38" s="387"/>
      <c r="F38" s="387"/>
      <c r="G38" s="388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86" t="s">
        <v>43</v>
      </c>
      <c r="B40" s="386"/>
      <c r="C40" s="9">
        <v>441</v>
      </c>
      <c r="D40" s="388"/>
      <c r="E40" s="388"/>
      <c r="F40" s="388"/>
      <c r="G40" s="388"/>
    </row>
    <row r="41" spans="1:7" s="1" customFormat="1" ht="12.75" customHeight="1">
      <c r="A41" s="386" t="s">
        <v>44</v>
      </c>
      <c r="B41" s="386"/>
      <c r="C41" s="9">
        <v>15</v>
      </c>
      <c r="D41" s="388"/>
      <c r="E41" s="388"/>
      <c r="F41" s="388"/>
      <c r="G41" s="388"/>
    </row>
    <row r="42" spans="1:7" ht="12.75" customHeight="1">
      <c r="A42" s="386" t="s">
        <v>45</v>
      </c>
      <c r="B42" s="386"/>
      <c r="C42" s="9">
        <v>93</v>
      </c>
      <c r="D42" s="388"/>
      <c r="E42" s="388"/>
      <c r="F42" s="388"/>
      <c r="G42" s="388"/>
    </row>
    <row r="43" spans="1:7" ht="16.5" customHeight="1">
      <c r="A43" s="386" t="s">
        <v>46</v>
      </c>
      <c r="B43" s="386"/>
      <c r="C43" s="9">
        <v>231</v>
      </c>
      <c r="D43" s="388"/>
      <c r="E43" s="388"/>
      <c r="F43" s="388"/>
      <c r="G43" s="388"/>
    </row>
    <row r="44" spans="1:7" ht="12.75">
      <c r="A44" s="386" t="s">
        <v>47</v>
      </c>
      <c r="B44" s="386"/>
      <c r="C44" s="9">
        <v>61</v>
      </c>
      <c r="D44" s="388"/>
      <c r="E44" s="388"/>
      <c r="F44" s="388"/>
      <c r="G44" s="388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86" t="s">
        <v>49</v>
      </c>
      <c r="B46" s="386"/>
      <c r="C46" s="9">
        <v>311</v>
      </c>
      <c r="D46" s="387"/>
      <c r="E46" s="387"/>
      <c r="F46" s="387"/>
      <c r="G46" s="388"/>
    </row>
    <row r="47" spans="1:7" ht="12.75" customHeight="1">
      <c r="A47" s="386" t="s">
        <v>50</v>
      </c>
      <c r="B47" s="386"/>
      <c r="C47" s="9">
        <v>7</v>
      </c>
      <c r="D47" s="387"/>
      <c r="E47" s="387"/>
      <c r="F47" s="387"/>
      <c r="G47" s="388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86" t="s">
        <v>52</v>
      </c>
      <c r="B49" s="386"/>
      <c r="C49" s="9">
        <v>196</v>
      </c>
      <c r="D49" s="387"/>
      <c r="E49" s="387"/>
      <c r="F49" s="387"/>
      <c r="G49" s="388"/>
    </row>
    <row r="50" spans="1:7" ht="12.75">
      <c r="A50" s="386" t="s">
        <v>53</v>
      </c>
      <c r="B50" s="386"/>
      <c r="C50" s="9">
        <v>32</v>
      </c>
      <c r="D50" s="387"/>
      <c r="E50" s="387"/>
      <c r="F50" s="387"/>
      <c r="G50" s="388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86" t="s">
        <v>55</v>
      </c>
      <c r="B52" s="386"/>
      <c r="C52" s="9">
        <v>396</v>
      </c>
      <c r="D52" s="387"/>
      <c r="E52" s="387"/>
      <c r="F52" s="387"/>
      <c r="G52" s="388"/>
    </row>
    <row r="53" spans="1:7" ht="12.75" customHeight="1">
      <c r="A53" s="386" t="s">
        <v>56</v>
      </c>
      <c r="B53" s="386"/>
      <c r="C53" s="9">
        <v>126</v>
      </c>
      <c r="D53" s="387"/>
      <c r="E53" s="387"/>
      <c r="F53" s="387"/>
      <c r="G53" s="388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86" t="s">
        <v>58</v>
      </c>
      <c r="B55" s="386"/>
      <c r="C55" s="9">
        <v>352</v>
      </c>
      <c r="D55" s="387"/>
      <c r="E55" s="387"/>
      <c r="F55" s="387"/>
      <c r="G55" s="388"/>
    </row>
    <row r="56" spans="1:7" ht="12.75" customHeight="1">
      <c r="A56" s="386" t="s">
        <v>59</v>
      </c>
      <c r="B56" s="386"/>
      <c r="C56" s="9">
        <f>-12</f>
        <v>-12</v>
      </c>
      <c r="D56" s="387"/>
      <c r="E56" s="387"/>
      <c r="F56" s="387"/>
      <c r="G56" s="388"/>
    </row>
    <row r="57" spans="1:7" ht="27.75" customHeight="1">
      <c r="A57" s="381" t="s">
        <v>60</v>
      </c>
      <c r="B57" s="381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82" t="s">
        <v>62</v>
      </c>
      <c r="C76" s="383" t="s">
        <v>63</v>
      </c>
      <c r="D76" s="383"/>
      <c r="G76"/>
    </row>
    <row r="77" spans="2:7" ht="27.75" customHeight="1">
      <c r="B77" s="382"/>
      <c r="C77" s="384" t="s">
        <v>64</v>
      </c>
      <c r="D77" s="384"/>
      <c r="E77" s="19" t="s">
        <v>65</v>
      </c>
      <c r="G77"/>
    </row>
    <row r="78" ht="12.75">
      <c r="G78"/>
    </row>
    <row r="79" ht="12.75">
      <c r="G79"/>
    </row>
    <row r="80" spans="2:7" ht="18">
      <c r="B80" s="379" t="s">
        <v>62</v>
      </c>
      <c r="C80" s="20">
        <v>40366155.36</v>
      </c>
      <c r="E80" s="385" t="s">
        <v>66</v>
      </c>
      <c r="F80" s="378">
        <f>C80/C81</f>
        <v>2213.4208126336566</v>
      </c>
      <c r="G80"/>
    </row>
    <row r="81" spans="2:7" ht="18">
      <c r="B81" s="379"/>
      <c r="C81" s="21">
        <v>18237</v>
      </c>
      <c r="D81" s="2"/>
      <c r="E81" s="385"/>
      <c r="F81" s="378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79" t="s">
        <v>68</v>
      </c>
      <c r="C86" s="379" t="s">
        <v>69</v>
      </c>
      <c r="E86" s="380" t="s">
        <v>70</v>
      </c>
      <c r="F86" s="378">
        <f>2*F80</f>
        <v>4426.841625267313</v>
      </c>
    </row>
    <row r="87" spans="2:6" ht="12.75">
      <c r="B87" s="379"/>
      <c r="C87" s="379"/>
      <c r="E87" s="380"/>
      <c r="F87" s="380"/>
    </row>
    <row r="88" ht="12.75">
      <c r="E88" s="24"/>
    </row>
    <row r="90" ht="12.75">
      <c r="B90" s="1" t="s">
        <v>71</v>
      </c>
    </row>
    <row r="92" spans="2:6" ht="12.75" customHeight="1">
      <c r="B92" s="379" t="s">
        <v>72</v>
      </c>
      <c r="C92" s="379" t="s">
        <v>73</v>
      </c>
      <c r="E92" s="380" t="s">
        <v>74</v>
      </c>
      <c r="F92" s="378">
        <f>10*F80</f>
        <v>22134.208126336565</v>
      </c>
    </row>
    <row r="93" spans="2:6" ht="12.75" customHeight="1">
      <c r="B93" s="379"/>
      <c r="C93" s="379"/>
      <c r="E93" s="380"/>
      <c r="F93" s="380"/>
    </row>
    <row r="96" ht="12.75">
      <c r="B96" s="1" t="s">
        <v>75</v>
      </c>
    </row>
    <row r="98" spans="2:5" ht="25.5" customHeight="1">
      <c r="B98" s="374" t="s">
        <v>76</v>
      </c>
      <c r="C98" s="375" t="s">
        <v>77</v>
      </c>
      <c r="D98" s="375"/>
      <c r="E98" s="376" t="s">
        <v>78</v>
      </c>
    </row>
    <row r="99" spans="2:5" ht="16.5">
      <c r="B99" s="374"/>
      <c r="C99" s="377">
        <v>100</v>
      </c>
      <c r="D99" s="377"/>
      <c r="E99" s="376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95" t="s">
        <v>2</v>
      </c>
      <c r="C3" s="395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86">
        <v>3</v>
      </c>
      <c r="B6" s="33" t="s">
        <v>84</v>
      </c>
      <c r="C6" s="34">
        <f>'Arkusz2 (2)'!C7</f>
        <v>199</v>
      </c>
      <c r="D6" s="391">
        <f>'Arkusz2 (2)'!C6</f>
        <v>283</v>
      </c>
      <c r="E6" s="393">
        <f>'Arkusz2 (2)'!D6</f>
        <v>10690.822525020561</v>
      </c>
      <c r="F6" s="393">
        <f>'Arkusz2 (2)'!F6</f>
        <v>10691</v>
      </c>
      <c r="G6" s="390"/>
    </row>
    <row r="7" spans="1:7" ht="12.75">
      <c r="A7" s="386"/>
      <c r="B7" s="35" t="s">
        <v>85</v>
      </c>
      <c r="C7" s="36">
        <f>'Arkusz2 (2)'!C8</f>
        <v>84</v>
      </c>
      <c r="D7" s="391"/>
      <c r="E7" s="393"/>
      <c r="F7" s="393"/>
      <c r="G7" s="390"/>
    </row>
    <row r="8" spans="1:7" ht="12.75">
      <c r="A8" s="386">
        <v>4</v>
      </c>
      <c r="B8" s="33" t="s">
        <v>86</v>
      </c>
      <c r="C8" s="34">
        <f>'Arkusz2 (2)'!C10</f>
        <v>664</v>
      </c>
      <c r="D8" s="391">
        <f>'Arkusz2 (2)'!C9</f>
        <v>653</v>
      </c>
      <c r="E8" s="393">
        <f>'Arkusz2 (2)'!D9</f>
        <v>18880.479531765093</v>
      </c>
      <c r="F8" s="393">
        <f>'Arkusz2 (2)'!F9</f>
        <v>18880</v>
      </c>
      <c r="G8" s="390"/>
    </row>
    <row r="9" spans="1:7" ht="12.75">
      <c r="A9" s="386"/>
      <c r="B9" s="37" t="s">
        <v>87</v>
      </c>
      <c r="C9" s="38">
        <f>'Arkusz2 (2)'!C11</f>
        <v>0</v>
      </c>
      <c r="D9" s="391"/>
      <c r="E9" s="393"/>
      <c r="F9" s="393"/>
      <c r="G9" s="390"/>
    </row>
    <row r="10" spans="1:7" ht="12.75">
      <c r="A10" s="386"/>
      <c r="B10" s="37" t="s">
        <v>88</v>
      </c>
      <c r="C10" s="38">
        <f>'Arkusz2 (2)'!C12</f>
        <v>-1</v>
      </c>
      <c r="D10" s="391"/>
      <c r="E10" s="393"/>
      <c r="F10" s="393"/>
      <c r="G10" s="390"/>
    </row>
    <row r="11" spans="1:7" ht="12.75">
      <c r="A11" s="386"/>
      <c r="B11" s="37" t="s">
        <v>89</v>
      </c>
      <c r="C11" s="38">
        <f>'Arkusz2 (2)'!C13</f>
        <v>-5</v>
      </c>
      <c r="D11" s="391"/>
      <c r="E11" s="393"/>
      <c r="F11" s="393"/>
      <c r="G11" s="390"/>
    </row>
    <row r="12" spans="1:7" ht="12.75">
      <c r="A12" s="386"/>
      <c r="B12" s="39" t="s">
        <v>90</v>
      </c>
      <c r="C12" s="36">
        <f>'Arkusz2 (2)'!C14</f>
        <v>-5</v>
      </c>
      <c r="D12" s="391"/>
      <c r="E12" s="393"/>
      <c r="F12" s="393"/>
      <c r="G12" s="390"/>
    </row>
    <row r="13" spans="1:7" ht="12.75">
      <c r="A13" s="386">
        <v>5</v>
      </c>
      <c r="B13" s="33" t="s">
        <v>91</v>
      </c>
      <c r="C13" s="34">
        <f>'Arkusz2 (2)'!C16</f>
        <v>229</v>
      </c>
      <c r="D13" s="391">
        <f>'Arkusz2 (2)'!C15</f>
        <v>282</v>
      </c>
      <c r="E13" s="393">
        <f>'Arkusz2 (2)'!D15</f>
        <v>10668.688316894226</v>
      </c>
      <c r="F13" s="393">
        <f>'Arkusz2 (2)'!F15</f>
        <v>10669</v>
      </c>
      <c r="G13" s="390"/>
    </row>
    <row r="14" spans="1:7" ht="12.75">
      <c r="A14" s="386"/>
      <c r="B14" s="39" t="s">
        <v>21</v>
      </c>
      <c r="C14" s="36">
        <f>'Arkusz2 (2)'!C17</f>
        <v>53</v>
      </c>
      <c r="D14" s="391"/>
      <c r="E14" s="393"/>
      <c r="F14" s="393"/>
      <c r="G14" s="390"/>
    </row>
    <row r="15" spans="1:7" ht="12.75">
      <c r="A15" s="386">
        <v>6</v>
      </c>
      <c r="B15" s="33" t="s">
        <v>92</v>
      </c>
      <c r="C15" s="34">
        <f>'Arkusz2 (2)'!C19</f>
        <v>118</v>
      </c>
      <c r="D15" s="391">
        <f>'Arkusz2 (2)'!C18</f>
        <v>167</v>
      </c>
      <c r="E15" s="393">
        <f>'Arkusz2 (2)'!D18</f>
        <v>8123.25438236552</v>
      </c>
      <c r="F15" s="393">
        <f>'Arkusz2 (2)'!F18</f>
        <v>8123</v>
      </c>
      <c r="G15" s="390"/>
    </row>
    <row r="16" spans="1:7" ht="12.75">
      <c r="A16" s="386"/>
      <c r="B16" s="40" t="s">
        <v>93</v>
      </c>
      <c r="C16" s="38">
        <f>'Arkusz2 (2)'!C20</f>
        <v>11</v>
      </c>
      <c r="D16" s="391"/>
      <c r="E16" s="393"/>
      <c r="F16" s="393"/>
      <c r="G16" s="390"/>
    </row>
    <row r="17" spans="1:7" ht="12.75">
      <c r="A17" s="386"/>
      <c r="B17" s="37" t="s">
        <v>94</v>
      </c>
      <c r="C17" s="38">
        <f>'Arkusz2 (2)'!C21</f>
        <v>26</v>
      </c>
      <c r="D17" s="391"/>
      <c r="E17" s="393"/>
      <c r="F17" s="393"/>
      <c r="G17" s="390"/>
    </row>
    <row r="18" spans="1:7" ht="12.75">
      <c r="A18" s="386"/>
      <c r="B18" s="39" t="s">
        <v>26</v>
      </c>
      <c r="C18" s="36">
        <f>'Arkusz2 (2)'!C22</f>
        <v>12</v>
      </c>
      <c r="D18" s="391"/>
      <c r="E18" s="393"/>
      <c r="F18" s="393"/>
      <c r="G18" s="390"/>
    </row>
    <row r="19" spans="1:7" ht="12.75">
      <c r="A19" s="386">
        <v>7</v>
      </c>
      <c r="B19" s="33" t="s">
        <v>95</v>
      </c>
      <c r="C19" s="34">
        <f>'Arkusz2 (2)'!C24</f>
        <v>76</v>
      </c>
      <c r="D19" s="391">
        <f>'Arkusz2 (2)'!C23</f>
        <v>408</v>
      </c>
      <c r="E19" s="393">
        <f>'Arkusz2 (2)'!D23</f>
        <v>13457.598540812633</v>
      </c>
      <c r="F19" s="393">
        <f>'Arkusz2 (2)'!F23</f>
        <v>13458</v>
      </c>
      <c r="G19" s="390"/>
    </row>
    <row r="20" spans="1:7" ht="12.75">
      <c r="A20" s="386"/>
      <c r="B20" s="41" t="s">
        <v>29</v>
      </c>
      <c r="C20" s="38">
        <f>'Arkusz2 (2)'!C25</f>
        <v>198</v>
      </c>
      <c r="D20" s="391"/>
      <c r="E20" s="393"/>
      <c r="F20" s="393"/>
      <c r="G20" s="390"/>
    </row>
    <row r="21" spans="1:7" ht="12.75">
      <c r="A21" s="386"/>
      <c r="B21" s="35" t="s">
        <v>30</v>
      </c>
      <c r="C21" s="36">
        <f>'Arkusz2 (2)'!C26</f>
        <v>134</v>
      </c>
      <c r="D21" s="391"/>
      <c r="E21" s="393"/>
      <c r="F21" s="393"/>
      <c r="G21" s="390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86">
        <v>10</v>
      </c>
      <c r="B24" s="33" t="s">
        <v>98</v>
      </c>
      <c r="C24" s="34">
        <f>'Arkusz2 (2)'!C30</f>
        <v>250</v>
      </c>
      <c r="D24" s="391">
        <f>'Arkusz2 (2)'!C29</f>
        <v>413</v>
      </c>
      <c r="E24" s="393">
        <f>'Arkusz2 (2)'!D29</f>
        <v>13568.269581444314</v>
      </c>
      <c r="F24" s="393">
        <f>'Arkusz2 (2)'!F29</f>
        <v>13568</v>
      </c>
      <c r="G24" s="390"/>
    </row>
    <row r="25" spans="1:7" ht="12.75">
      <c r="A25" s="386"/>
      <c r="B25" s="41" t="s">
        <v>35</v>
      </c>
      <c r="C25" s="38">
        <f>'Arkusz2 (2)'!C31</f>
        <v>149</v>
      </c>
      <c r="D25" s="391"/>
      <c r="E25" s="393"/>
      <c r="F25" s="393"/>
      <c r="G25" s="390"/>
    </row>
    <row r="26" spans="1:7" ht="12.75">
      <c r="A26" s="386"/>
      <c r="B26" s="35" t="s">
        <v>36</v>
      </c>
      <c r="C26" s="36">
        <f>'Arkusz2 (2)'!C32</f>
        <v>14</v>
      </c>
      <c r="D26" s="391"/>
      <c r="E26" s="393"/>
      <c r="F26" s="393"/>
      <c r="G26" s="390"/>
    </row>
    <row r="27" spans="1:7" ht="12.75">
      <c r="A27" s="386">
        <v>11</v>
      </c>
      <c r="B27" s="33" t="s">
        <v>99</v>
      </c>
      <c r="C27" s="34">
        <f>'Arkusz2 (2)'!C34</f>
        <v>238</v>
      </c>
      <c r="D27" s="391">
        <f>'Arkusz2 (2)'!C33</f>
        <v>212</v>
      </c>
      <c r="E27" s="393">
        <f>'Arkusz2 (2)'!D33</f>
        <v>9119.293748050666</v>
      </c>
      <c r="F27" s="393">
        <f>'Arkusz2 (2)'!F33</f>
        <v>9119</v>
      </c>
      <c r="G27" s="390"/>
    </row>
    <row r="28" spans="1:7" ht="12.75">
      <c r="A28" s="386"/>
      <c r="B28" s="39" t="s">
        <v>100</v>
      </c>
      <c r="C28" s="36">
        <f>'Arkusz2 (2)'!C35</f>
        <v>-26</v>
      </c>
      <c r="D28" s="391"/>
      <c r="E28" s="393"/>
      <c r="F28" s="393"/>
      <c r="G28" s="390"/>
    </row>
    <row r="29" spans="1:7" ht="13.5" customHeight="1">
      <c r="A29" s="386">
        <v>12</v>
      </c>
      <c r="B29" s="33" t="s">
        <v>101</v>
      </c>
      <c r="C29" s="34">
        <f>'Arkusz2 (2)'!C37</f>
        <v>1047</v>
      </c>
      <c r="D29" s="391">
        <f>'Arkusz2 (2)'!C36</f>
        <v>1159</v>
      </c>
      <c r="E29" s="393">
        <f>'Arkusz2 (2)'!D36</f>
        <v>30080.388843691395</v>
      </c>
      <c r="F29" s="393">
        <f>'Arkusz2 (2)'!F36</f>
        <v>22134</v>
      </c>
      <c r="G29" s="394" t="s">
        <v>102</v>
      </c>
    </row>
    <row r="30" spans="1:7" ht="42" customHeight="1">
      <c r="A30" s="386"/>
      <c r="B30" s="39" t="s">
        <v>41</v>
      </c>
      <c r="C30" s="36">
        <f>'Arkusz2 (2)'!C38</f>
        <v>112</v>
      </c>
      <c r="D30" s="391"/>
      <c r="E30" s="393"/>
      <c r="F30" s="393"/>
      <c r="G30" s="394"/>
    </row>
    <row r="31" spans="1:7" ht="13.5" customHeight="1">
      <c r="A31" s="386">
        <v>13</v>
      </c>
      <c r="B31" s="33" t="s">
        <v>103</v>
      </c>
      <c r="C31" s="34">
        <f>'Arkusz2 (2)'!C40</f>
        <v>441</v>
      </c>
      <c r="D31" s="391">
        <f>'Arkusz2 (2)'!C39</f>
        <v>841</v>
      </c>
      <c r="E31" s="393">
        <f>'Arkusz2 (2)'!D39</f>
        <v>23041.710659516364</v>
      </c>
      <c r="F31" s="393">
        <f>'Arkusz2 (2)'!F39</f>
        <v>22134</v>
      </c>
      <c r="G31" s="394" t="s">
        <v>102</v>
      </c>
    </row>
    <row r="32" spans="1:7" ht="12.75">
      <c r="A32" s="386"/>
      <c r="B32" s="37" t="s">
        <v>44</v>
      </c>
      <c r="C32" s="38">
        <f>'Arkusz2 (2)'!C41</f>
        <v>15</v>
      </c>
      <c r="D32" s="391"/>
      <c r="E32" s="393"/>
      <c r="F32" s="393"/>
      <c r="G32" s="394"/>
    </row>
    <row r="33" spans="1:7" ht="12.75">
      <c r="A33" s="386"/>
      <c r="B33" s="37" t="s">
        <v>45</v>
      </c>
      <c r="C33" s="38">
        <f>'Arkusz2 (2)'!C42</f>
        <v>93</v>
      </c>
      <c r="D33" s="391"/>
      <c r="E33" s="393"/>
      <c r="F33" s="393"/>
      <c r="G33" s="394"/>
    </row>
    <row r="34" spans="1:7" ht="12.75">
      <c r="A34" s="386"/>
      <c r="B34" s="37" t="s">
        <v>46</v>
      </c>
      <c r="C34" s="38">
        <f>'Arkusz2 (2)'!C43</f>
        <v>231</v>
      </c>
      <c r="D34" s="391"/>
      <c r="E34" s="393"/>
      <c r="F34" s="393"/>
      <c r="G34" s="394"/>
    </row>
    <row r="35" spans="1:7" ht="12.75">
      <c r="A35" s="386"/>
      <c r="B35" s="39" t="s">
        <v>47</v>
      </c>
      <c r="C35" s="36">
        <f>'Arkusz2 (2)'!C44</f>
        <v>61</v>
      </c>
      <c r="D35" s="391"/>
      <c r="E35" s="393"/>
      <c r="F35" s="393"/>
      <c r="G35" s="394"/>
    </row>
    <row r="36" spans="1:7" ht="12.75">
      <c r="A36" s="386">
        <v>14</v>
      </c>
      <c r="B36" s="33" t="s">
        <v>104</v>
      </c>
      <c r="C36" s="34">
        <f>'Arkusz2 (2)'!C46</f>
        <v>311</v>
      </c>
      <c r="D36" s="391">
        <f>'Arkusz2 (2)'!C45</f>
        <v>318</v>
      </c>
      <c r="E36" s="393">
        <f>'Arkusz2 (2)'!D45</f>
        <v>11465.519809442341</v>
      </c>
      <c r="F36" s="393">
        <f>'Arkusz2 (2)'!F45</f>
        <v>11466</v>
      </c>
      <c r="G36" s="390"/>
    </row>
    <row r="37" spans="1:7" ht="12.75">
      <c r="A37" s="386"/>
      <c r="B37" s="39" t="s">
        <v>50</v>
      </c>
      <c r="C37" s="36">
        <f>'Arkusz2 (2)'!C47</f>
        <v>7</v>
      </c>
      <c r="D37" s="391"/>
      <c r="E37" s="393"/>
      <c r="F37" s="393"/>
      <c r="G37" s="390"/>
    </row>
    <row r="38" spans="1:7" ht="12.75">
      <c r="A38" s="386">
        <v>15</v>
      </c>
      <c r="B38" s="33" t="s">
        <v>105</v>
      </c>
      <c r="C38" s="34">
        <f>'Arkusz2 (2)'!C49</f>
        <v>196</v>
      </c>
      <c r="D38" s="391">
        <f>'Arkusz2 (2)'!C48</f>
        <v>228</v>
      </c>
      <c r="E38" s="393">
        <f>'Arkusz2 (2)'!D48</f>
        <v>9473.441078072048</v>
      </c>
      <c r="F38" s="393">
        <f>'Arkusz2 (2)'!F48</f>
        <v>9473</v>
      </c>
      <c r="G38" s="390"/>
    </row>
    <row r="39" spans="1:7" ht="12.75">
      <c r="A39" s="386"/>
      <c r="B39" s="39" t="s">
        <v>53</v>
      </c>
      <c r="C39" s="36">
        <f>'Arkusz2 (2)'!C50</f>
        <v>32</v>
      </c>
      <c r="D39" s="391"/>
      <c r="E39" s="393"/>
      <c r="F39" s="393"/>
      <c r="G39" s="390"/>
    </row>
    <row r="40" spans="1:7" ht="12.75">
      <c r="A40" s="386">
        <v>16</v>
      </c>
      <c r="B40" s="33" t="s">
        <v>106</v>
      </c>
      <c r="C40" s="34">
        <f>'Arkusz2 (2)'!C52</f>
        <v>396</v>
      </c>
      <c r="D40" s="391">
        <f>'Arkusz2 (2)'!C51</f>
        <v>522</v>
      </c>
      <c r="E40" s="393">
        <f>'Arkusz2 (2)'!D51</f>
        <v>15980.898267215</v>
      </c>
      <c r="F40" s="393">
        <f>'Arkusz2 (2)'!F51</f>
        <v>15981</v>
      </c>
      <c r="G40" s="390"/>
    </row>
    <row r="41" spans="1:7" ht="12.75">
      <c r="A41" s="386"/>
      <c r="B41" s="39" t="s">
        <v>56</v>
      </c>
      <c r="C41" s="36">
        <f>'Arkusz2 (2)'!C53</f>
        <v>126</v>
      </c>
      <c r="D41" s="391"/>
      <c r="E41" s="393"/>
      <c r="F41" s="393"/>
      <c r="G41" s="390"/>
    </row>
    <row r="42" spans="1:7" ht="12.75">
      <c r="A42" s="386">
        <v>17</v>
      </c>
      <c r="B42" s="33" t="s">
        <v>107</v>
      </c>
      <c r="C42" s="34">
        <f>'Arkusz2 (2)'!C55</f>
        <v>352</v>
      </c>
      <c r="D42" s="391">
        <f>'Arkusz2 (2)'!C54</f>
        <v>340</v>
      </c>
      <c r="E42" s="393">
        <f>'Arkusz2 (2)'!D54</f>
        <v>11952.472388221746</v>
      </c>
      <c r="F42" s="393">
        <f>'Arkusz2 (2)'!F54</f>
        <v>11952</v>
      </c>
      <c r="G42" s="390"/>
    </row>
    <row r="43" spans="1:7" ht="12.75">
      <c r="A43" s="386"/>
      <c r="B43" s="39" t="s">
        <v>108</v>
      </c>
      <c r="C43" s="36">
        <f>'Arkusz2 (2)'!C56</f>
        <v>-12</v>
      </c>
      <c r="D43" s="391"/>
      <c r="E43" s="393"/>
      <c r="F43" s="393"/>
      <c r="G43" s="390"/>
    </row>
    <row r="44" spans="1:7" ht="30" customHeight="1">
      <c r="A44" s="392" t="s">
        <v>60</v>
      </c>
      <c r="B44" s="392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5" customWidth="1"/>
    <col min="6" max="6" width="15.7109375" style="0" bestFit="1" customWidth="1"/>
    <col min="7" max="7" width="12.00390625" style="0" hidden="1" customWidth="1"/>
  </cols>
  <sheetData>
    <row r="2" spans="1:7" ht="18">
      <c r="A2" s="389" t="s">
        <v>241</v>
      </c>
      <c r="B2" s="389"/>
      <c r="C2" s="389"/>
      <c r="D2" s="389"/>
      <c r="E2" s="389"/>
      <c r="F2" s="389"/>
      <c r="G2" s="389"/>
    </row>
    <row r="3" spans="1:7" ht="14.25" customHeight="1">
      <c r="A3" s="2"/>
      <c r="B3" s="2"/>
      <c r="C3" s="2"/>
      <c r="D3" s="2"/>
      <c r="E3" s="132"/>
      <c r="G3" s="2"/>
    </row>
    <row r="4" spans="1:7" ht="89.25">
      <c r="A4" s="3" t="s">
        <v>1</v>
      </c>
      <c r="B4" s="3" t="s">
        <v>2</v>
      </c>
      <c r="C4" s="47" t="s">
        <v>242</v>
      </c>
      <c r="D4" s="47" t="s">
        <v>243</v>
      </c>
      <c r="E4" s="133" t="s">
        <v>244</v>
      </c>
      <c r="F4" s="47" t="s">
        <v>117</v>
      </c>
      <c r="G4" s="47" t="s">
        <v>199</v>
      </c>
    </row>
    <row r="5" spans="1:7" s="1" customFormat="1" ht="15.75">
      <c r="A5" s="48">
        <v>1</v>
      </c>
      <c r="B5" s="49" t="s">
        <v>174</v>
      </c>
      <c r="C5" s="64">
        <v>269</v>
      </c>
      <c r="D5" s="50">
        <f>(2+C5/100)*F71</f>
        <v>19684.405741220664</v>
      </c>
      <c r="E5" s="50">
        <f>IF(D5&lt;$D$76,$D$76,IF(D5&gt;$D$81,$D$81,D5))</f>
        <v>19684.405741220664</v>
      </c>
      <c r="F5" s="50">
        <f>ROUND(E5,0)</f>
        <v>19684</v>
      </c>
      <c r="G5" s="51"/>
    </row>
    <row r="6" spans="1:7" s="1" customFormat="1" ht="15.75">
      <c r="A6" s="48">
        <v>2</v>
      </c>
      <c r="B6" s="49" t="s">
        <v>173</v>
      </c>
      <c r="C6" s="64">
        <v>401</v>
      </c>
      <c r="D6" s="50">
        <f>(2+C6/100)*F71</f>
        <v>25224.579638536503</v>
      </c>
      <c r="E6" s="50">
        <f>ROUND(IF(D6&lt;$D$76,$D$76,IF(D6&gt;$D$81,$D$81,D6)),2)</f>
        <v>25224.58</v>
      </c>
      <c r="F6" s="50">
        <f>ROUND(E6,0)</f>
        <v>25225</v>
      </c>
      <c r="G6" s="51"/>
    </row>
    <row r="7" spans="1:7" s="1" customFormat="1" ht="15.75">
      <c r="A7" s="4">
        <v>3</v>
      </c>
      <c r="B7" s="5" t="s">
        <v>175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2"/>
    </row>
    <row r="8" spans="1:7" ht="12.75">
      <c r="A8" s="386" t="s">
        <v>11</v>
      </c>
      <c r="B8" s="386"/>
      <c r="C8" s="65">
        <v>205</v>
      </c>
      <c r="D8" s="410"/>
      <c r="E8" s="410"/>
      <c r="F8" s="390"/>
      <c r="G8" s="393"/>
    </row>
    <row r="9" spans="1:7" ht="12.75">
      <c r="A9" s="386" t="s">
        <v>12</v>
      </c>
      <c r="B9" s="386"/>
      <c r="C9" s="59">
        <v>86</v>
      </c>
      <c r="D9" s="410"/>
      <c r="E9" s="410"/>
      <c r="F9" s="390"/>
      <c r="G9" s="393"/>
    </row>
    <row r="10" spans="1:7" s="1" customFormat="1" ht="25.5">
      <c r="A10" s="4">
        <v>4</v>
      </c>
      <c r="B10" s="5" t="s">
        <v>176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2"/>
    </row>
    <row r="11" spans="1:7" ht="12.75" customHeight="1">
      <c r="A11" s="386" t="s">
        <v>118</v>
      </c>
      <c r="B11" s="386"/>
      <c r="C11" s="59">
        <v>753</v>
      </c>
      <c r="D11" s="387"/>
      <c r="E11" s="387"/>
      <c r="F11" s="387"/>
      <c r="G11" s="393"/>
    </row>
    <row r="12" spans="1:7" ht="12.75" customHeight="1">
      <c r="A12" s="386" t="s">
        <v>15</v>
      </c>
      <c r="B12" s="386"/>
      <c r="C12" s="59">
        <v>0</v>
      </c>
      <c r="D12" s="387"/>
      <c r="E12" s="387"/>
      <c r="F12" s="387"/>
      <c r="G12" s="393"/>
    </row>
    <row r="13" spans="1:7" ht="12.75" customHeight="1">
      <c r="A13" s="386" t="s">
        <v>16</v>
      </c>
      <c r="B13" s="386"/>
      <c r="C13" s="59">
        <v>-1</v>
      </c>
      <c r="D13" s="387"/>
      <c r="E13" s="387"/>
      <c r="F13" s="387"/>
      <c r="G13" s="393"/>
    </row>
    <row r="14" spans="1:7" ht="12.75" customHeight="1">
      <c r="A14" s="386" t="s">
        <v>17</v>
      </c>
      <c r="B14" s="386"/>
      <c r="C14" s="59">
        <v>-7</v>
      </c>
      <c r="D14" s="387"/>
      <c r="E14" s="387"/>
      <c r="F14" s="387"/>
      <c r="G14" s="393"/>
    </row>
    <row r="15" spans="1:7" ht="12.75" customHeight="1">
      <c r="A15" s="386" t="s">
        <v>18</v>
      </c>
      <c r="B15" s="386"/>
      <c r="C15" s="59">
        <v>-4</v>
      </c>
      <c r="D15" s="387"/>
      <c r="E15" s="387"/>
      <c r="F15" s="387"/>
      <c r="G15" s="393"/>
    </row>
    <row r="16" spans="1:7" s="1" customFormat="1" ht="15.75">
      <c r="A16" s="4">
        <v>5</v>
      </c>
      <c r="B16" s="5" t="s">
        <v>177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2"/>
    </row>
    <row r="17" spans="1:7" ht="12.75" customHeight="1">
      <c r="A17" s="386" t="s">
        <v>20</v>
      </c>
      <c r="B17" s="386"/>
      <c r="C17" s="59">
        <v>282</v>
      </c>
      <c r="D17" s="387"/>
      <c r="E17" s="387"/>
      <c r="F17" s="387"/>
      <c r="G17" s="393"/>
    </row>
    <row r="18" spans="1:7" ht="12.75" customHeight="1">
      <c r="A18" s="386" t="s">
        <v>21</v>
      </c>
      <c r="B18" s="386"/>
      <c r="C18" s="59">
        <v>75</v>
      </c>
      <c r="D18" s="387"/>
      <c r="E18" s="387"/>
      <c r="F18" s="387"/>
      <c r="G18" s="393"/>
    </row>
    <row r="19" spans="1:7" s="1" customFormat="1" ht="15.75">
      <c r="A19" s="4">
        <v>6</v>
      </c>
      <c r="B19" s="5" t="s">
        <v>178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2"/>
    </row>
    <row r="20" spans="1:7" ht="12.75" customHeight="1">
      <c r="A20" s="386" t="s">
        <v>23</v>
      </c>
      <c r="B20" s="386"/>
      <c r="C20" s="59">
        <v>109</v>
      </c>
      <c r="D20" s="387"/>
      <c r="E20" s="387"/>
      <c r="F20" s="387"/>
      <c r="G20" s="393"/>
    </row>
    <row r="21" spans="1:7" ht="12.75" customHeight="1">
      <c r="A21" s="386" t="s">
        <v>24</v>
      </c>
      <c r="B21" s="386"/>
      <c r="C21" s="9">
        <v>12</v>
      </c>
      <c r="D21" s="387"/>
      <c r="E21" s="387"/>
      <c r="F21" s="387"/>
      <c r="G21" s="393"/>
    </row>
    <row r="22" spans="1:7" ht="12.75" customHeight="1">
      <c r="A22" s="386" t="s">
        <v>25</v>
      </c>
      <c r="B22" s="386"/>
      <c r="C22" s="9">
        <v>23</v>
      </c>
      <c r="D22" s="387"/>
      <c r="E22" s="387"/>
      <c r="F22" s="387"/>
      <c r="G22" s="393"/>
    </row>
    <row r="23" spans="1:7" ht="12.75" customHeight="1">
      <c r="A23" s="386" t="s">
        <v>26</v>
      </c>
      <c r="B23" s="386"/>
      <c r="C23" s="9">
        <v>10</v>
      </c>
      <c r="D23" s="387"/>
      <c r="E23" s="387"/>
      <c r="F23" s="387"/>
      <c r="G23" s="393"/>
    </row>
    <row r="24" spans="1:7" s="1" customFormat="1" ht="15.75">
      <c r="A24" s="4">
        <v>7</v>
      </c>
      <c r="B24" s="5" t="s">
        <v>179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2"/>
    </row>
    <row r="25" spans="1:7" ht="12.75" customHeight="1">
      <c r="A25" s="386" t="s">
        <v>28</v>
      </c>
      <c r="B25" s="386"/>
      <c r="C25" s="59">
        <v>85</v>
      </c>
      <c r="D25" s="387"/>
      <c r="E25" s="387"/>
      <c r="F25" s="387"/>
      <c r="G25" s="393"/>
    </row>
    <row r="26" spans="1:7" ht="12.75" customHeight="1">
      <c r="A26" s="386" t="s">
        <v>29</v>
      </c>
      <c r="B26" s="386"/>
      <c r="C26" s="59">
        <v>232</v>
      </c>
      <c r="D26" s="387"/>
      <c r="E26" s="387"/>
      <c r="F26" s="387"/>
      <c r="G26" s="393"/>
    </row>
    <row r="27" spans="1:7" ht="12.75" customHeight="1">
      <c r="A27" s="386" t="s">
        <v>30</v>
      </c>
      <c r="B27" s="386"/>
      <c r="C27" s="59">
        <v>143</v>
      </c>
      <c r="D27" s="387"/>
      <c r="E27" s="387"/>
      <c r="F27" s="387"/>
      <c r="G27" s="393"/>
    </row>
    <row r="28" spans="1:7" s="1" customFormat="1" ht="15.75">
      <c r="A28" s="4">
        <v>8</v>
      </c>
      <c r="B28" s="5" t="s">
        <v>180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2"/>
    </row>
    <row r="29" spans="1:7" s="1" customFormat="1" ht="15.75">
      <c r="A29" s="4">
        <v>9</v>
      </c>
      <c r="B29" s="5" t="s">
        <v>181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2"/>
    </row>
    <row r="30" spans="1:7" s="1" customFormat="1" ht="25.5">
      <c r="A30" s="4">
        <v>10</v>
      </c>
      <c r="B30" s="5" t="s">
        <v>182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2"/>
    </row>
    <row r="31" spans="1:7" s="1" customFormat="1" ht="12.75" customHeight="1">
      <c r="A31" s="386" t="s">
        <v>34</v>
      </c>
      <c r="B31" s="386"/>
      <c r="C31" s="59">
        <v>314</v>
      </c>
      <c r="D31" s="388"/>
      <c r="E31" s="388"/>
      <c r="F31" s="388"/>
      <c r="G31" s="408"/>
    </row>
    <row r="32" spans="1:7" ht="12.75" customHeight="1">
      <c r="A32" s="386" t="s">
        <v>35</v>
      </c>
      <c r="B32" s="386"/>
      <c r="C32" s="409">
        <v>249</v>
      </c>
      <c r="D32" s="388"/>
      <c r="E32" s="388"/>
      <c r="F32" s="388"/>
      <c r="G32" s="408"/>
    </row>
    <row r="33" spans="1:7" ht="7.5" customHeight="1">
      <c r="A33" s="386"/>
      <c r="B33" s="386"/>
      <c r="C33" s="409"/>
      <c r="D33" s="388"/>
      <c r="E33" s="388"/>
      <c r="F33" s="388"/>
      <c r="G33" s="408"/>
    </row>
    <row r="34" spans="1:7" ht="16.5" customHeight="1">
      <c r="A34" s="404" t="s">
        <v>36</v>
      </c>
      <c r="B34" s="405"/>
      <c r="C34" s="59">
        <v>14</v>
      </c>
      <c r="D34" s="76"/>
      <c r="E34" s="76"/>
      <c r="F34" s="76"/>
      <c r="G34" s="77"/>
    </row>
    <row r="35" spans="1:7" s="1" customFormat="1" ht="15.75">
      <c r="A35" s="4">
        <v>11</v>
      </c>
      <c r="B35" s="5" t="s">
        <v>183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2"/>
    </row>
    <row r="36" spans="1:7" ht="15" customHeight="1">
      <c r="A36" s="386" t="s">
        <v>38</v>
      </c>
      <c r="B36" s="386"/>
      <c r="C36" s="59">
        <v>216</v>
      </c>
      <c r="D36" s="393"/>
      <c r="E36" s="393"/>
      <c r="F36" s="393"/>
      <c r="G36" s="393"/>
    </row>
    <row r="37" spans="1:7" ht="15" customHeight="1">
      <c r="A37" s="386" t="s">
        <v>25</v>
      </c>
      <c r="B37" s="386"/>
      <c r="C37" s="9">
        <v>-23</v>
      </c>
      <c r="D37" s="393"/>
      <c r="E37" s="393"/>
      <c r="F37" s="393"/>
      <c r="G37" s="393"/>
    </row>
    <row r="38" spans="1:7" s="1" customFormat="1" ht="15.75">
      <c r="A38" s="4">
        <v>12</v>
      </c>
      <c r="B38" s="5" t="s">
        <v>184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3"/>
    </row>
    <row r="39" spans="1:7" ht="12.75" customHeight="1">
      <c r="A39" s="386" t="s">
        <v>40</v>
      </c>
      <c r="B39" s="386"/>
      <c r="C39" s="59">
        <v>1082</v>
      </c>
      <c r="D39" s="407"/>
      <c r="E39" s="407"/>
      <c r="F39" s="407"/>
      <c r="G39" s="407"/>
    </row>
    <row r="40" spans="1:7" ht="12.75" customHeight="1">
      <c r="A40" s="386" t="s">
        <v>41</v>
      </c>
      <c r="B40" s="386"/>
      <c r="C40" s="59">
        <v>108</v>
      </c>
      <c r="D40" s="407"/>
      <c r="E40" s="407"/>
      <c r="F40" s="407"/>
      <c r="G40" s="407"/>
    </row>
    <row r="41" spans="1:7" s="1" customFormat="1" ht="15.75">
      <c r="A41" s="4">
        <v>13</v>
      </c>
      <c r="B41" s="5" t="s">
        <v>185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3"/>
    </row>
    <row r="42" spans="1:7" s="1" customFormat="1" ht="12.75" customHeight="1">
      <c r="A42" s="386" t="s">
        <v>43</v>
      </c>
      <c r="B42" s="386"/>
      <c r="C42" s="59">
        <v>457</v>
      </c>
      <c r="D42" s="388"/>
      <c r="E42" s="388"/>
      <c r="F42" s="388"/>
      <c r="G42" s="406"/>
    </row>
    <row r="43" spans="1:7" s="1" customFormat="1" ht="12.75" customHeight="1">
      <c r="A43" s="386" t="s">
        <v>44</v>
      </c>
      <c r="B43" s="386"/>
      <c r="C43" s="59">
        <v>20</v>
      </c>
      <c r="D43" s="388"/>
      <c r="E43" s="388"/>
      <c r="F43" s="388"/>
      <c r="G43" s="406"/>
    </row>
    <row r="44" spans="1:7" ht="12.75" customHeight="1">
      <c r="A44" s="386" t="s">
        <v>45</v>
      </c>
      <c r="B44" s="386"/>
      <c r="C44" s="59">
        <v>87</v>
      </c>
      <c r="D44" s="388"/>
      <c r="E44" s="388"/>
      <c r="F44" s="388"/>
      <c r="G44" s="406"/>
    </row>
    <row r="45" spans="1:7" ht="12.75" customHeight="1">
      <c r="A45" s="386" t="s">
        <v>46</v>
      </c>
      <c r="B45" s="386"/>
      <c r="C45" s="59">
        <v>209</v>
      </c>
      <c r="D45" s="388"/>
      <c r="E45" s="388"/>
      <c r="F45" s="388"/>
      <c r="G45" s="406"/>
    </row>
    <row r="46" spans="1:7" ht="12.75" customHeight="1">
      <c r="A46" s="386" t="s">
        <v>47</v>
      </c>
      <c r="B46" s="386"/>
      <c r="C46" s="59">
        <v>60</v>
      </c>
      <c r="D46" s="388"/>
      <c r="E46" s="388"/>
      <c r="F46" s="388"/>
      <c r="G46" s="406"/>
    </row>
    <row r="47" spans="1:7" s="15" customFormat="1" ht="15.75">
      <c r="A47" s="4">
        <v>14</v>
      </c>
      <c r="B47" s="5" t="s">
        <v>186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3"/>
    </row>
    <row r="48" spans="1:11" ht="12.75" customHeight="1">
      <c r="A48" s="386" t="s">
        <v>49</v>
      </c>
      <c r="B48" s="386"/>
      <c r="C48" s="59">
        <v>300</v>
      </c>
      <c r="D48" s="387"/>
      <c r="E48" s="387"/>
      <c r="F48" s="387"/>
      <c r="G48" s="393"/>
      <c r="H48" s="16"/>
      <c r="I48" s="16"/>
      <c r="J48" s="16"/>
      <c r="K48" s="16"/>
    </row>
    <row r="49" spans="1:11" ht="12.75" customHeight="1">
      <c r="A49" s="404" t="s">
        <v>172</v>
      </c>
      <c r="B49" s="405"/>
      <c r="C49" s="59">
        <v>9</v>
      </c>
      <c r="D49" s="387"/>
      <c r="E49" s="387"/>
      <c r="F49" s="387"/>
      <c r="G49" s="393"/>
      <c r="H49" s="16"/>
      <c r="I49" s="16"/>
      <c r="J49" s="16"/>
      <c r="K49" s="16"/>
    </row>
    <row r="50" spans="1:11" ht="12.75" customHeight="1">
      <c r="A50" s="386" t="s">
        <v>50</v>
      </c>
      <c r="B50" s="386"/>
      <c r="C50" s="59">
        <v>15</v>
      </c>
      <c r="D50" s="387"/>
      <c r="E50" s="387"/>
      <c r="F50" s="387"/>
      <c r="G50" s="393"/>
      <c r="H50" s="16"/>
      <c r="I50" s="16"/>
      <c r="J50" s="16"/>
      <c r="K50" s="16"/>
    </row>
    <row r="51" spans="1:7" s="15" customFormat="1" ht="15.75">
      <c r="A51" s="4">
        <v>15</v>
      </c>
      <c r="B51" s="5" t="s">
        <v>187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3"/>
    </row>
    <row r="52" spans="1:11" ht="12.75" customHeight="1">
      <c r="A52" s="386" t="s">
        <v>52</v>
      </c>
      <c r="B52" s="386"/>
      <c r="C52" s="59">
        <v>215</v>
      </c>
      <c r="D52" s="387"/>
      <c r="E52" s="387"/>
      <c r="F52" s="387"/>
      <c r="G52" s="393"/>
      <c r="H52" s="16"/>
      <c r="I52" s="16"/>
      <c r="J52" s="16"/>
      <c r="K52" s="16"/>
    </row>
    <row r="53" spans="1:11" ht="12.75" customHeight="1">
      <c r="A53" s="386" t="s">
        <v>53</v>
      </c>
      <c r="B53" s="386"/>
      <c r="C53" s="59">
        <v>33</v>
      </c>
      <c r="D53" s="387"/>
      <c r="E53" s="387"/>
      <c r="F53" s="387"/>
      <c r="G53" s="393"/>
      <c r="H53" s="16"/>
      <c r="I53" s="16"/>
      <c r="J53" s="16"/>
      <c r="K53" s="16"/>
    </row>
    <row r="54" spans="1:7" s="15" customFormat="1" ht="15.75">
      <c r="A54" s="4">
        <v>16</v>
      </c>
      <c r="B54" s="5" t="s">
        <v>188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3"/>
    </row>
    <row r="55" spans="1:11" ht="12.75" customHeight="1">
      <c r="A55" s="386" t="s">
        <v>55</v>
      </c>
      <c r="B55" s="386"/>
      <c r="C55" s="59">
        <v>377</v>
      </c>
      <c r="D55" s="387"/>
      <c r="E55" s="387"/>
      <c r="F55" s="387"/>
      <c r="G55" s="393"/>
      <c r="H55" s="16"/>
      <c r="I55" s="16"/>
      <c r="J55" s="16"/>
      <c r="K55" s="16"/>
    </row>
    <row r="56" spans="1:11" ht="12.75" customHeight="1">
      <c r="A56" s="386" t="s">
        <v>56</v>
      </c>
      <c r="B56" s="386"/>
      <c r="C56" s="59">
        <v>194</v>
      </c>
      <c r="D56" s="387"/>
      <c r="E56" s="387"/>
      <c r="F56" s="387"/>
      <c r="G56" s="393"/>
      <c r="H56" s="16"/>
      <c r="I56" s="16"/>
      <c r="J56" s="16"/>
      <c r="K56" s="16"/>
    </row>
    <row r="57" spans="1:7" s="15" customFormat="1" ht="15.75">
      <c r="A57" s="4">
        <v>17</v>
      </c>
      <c r="B57" s="5" t="s">
        <v>189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3"/>
    </row>
    <row r="58" spans="1:7" ht="12.75" customHeight="1">
      <c r="A58" s="386" t="s">
        <v>58</v>
      </c>
      <c r="B58" s="386"/>
      <c r="C58" s="59">
        <v>343</v>
      </c>
      <c r="D58" s="387"/>
      <c r="E58" s="403"/>
      <c r="F58" s="387"/>
      <c r="G58" s="393"/>
    </row>
    <row r="59" spans="1:7" ht="12.75" customHeight="1">
      <c r="A59" s="386" t="s">
        <v>59</v>
      </c>
      <c r="B59" s="386"/>
      <c r="C59" s="9">
        <v>-10</v>
      </c>
      <c r="D59" s="387"/>
      <c r="E59" s="403"/>
      <c r="F59" s="387"/>
      <c r="G59" s="393"/>
    </row>
    <row r="60" spans="1:7" ht="27.75" customHeight="1">
      <c r="A60" s="381" t="s">
        <v>60</v>
      </c>
      <c r="B60" s="381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4">
        <f>SUM(G5:G58)</f>
        <v>0</v>
      </c>
    </row>
    <row r="61" spans="1:7" s="16" customFormat="1" ht="9.75" customHeight="1">
      <c r="A61" s="67"/>
      <c r="B61" s="67"/>
      <c r="C61" s="68"/>
      <c r="D61" s="69"/>
      <c r="E61" s="134"/>
      <c r="F61" s="69"/>
      <c r="G61" s="70"/>
    </row>
    <row r="62" spans="1:7" s="16" customFormat="1" ht="15.75">
      <c r="A62" s="402" t="s">
        <v>171</v>
      </c>
      <c r="B62" s="402"/>
      <c r="C62" s="402"/>
      <c r="D62" s="69"/>
      <c r="E62" s="134"/>
      <c r="F62" s="69"/>
      <c r="G62" s="70"/>
    </row>
    <row r="63" spans="1:7" s="16" customFormat="1" ht="15.75">
      <c r="A63" s="402" t="s">
        <v>240</v>
      </c>
      <c r="B63" s="402"/>
      <c r="C63" s="402"/>
      <c r="D63" s="69"/>
      <c r="E63" s="134"/>
      <c r="F63" s="69"/>
      <c r="G63" s="70"/>
    </row>
    <row r="64" spans="1:7" s="16" customFormat="1" ht="15.75">
      <c r="A64" s="67"/>
      <c r="B64" s="67"/>
      <c r="C64" s="68"/>
      <c r="D64" s="69"/>
      <c r="E64" s="134"/>
      <c r="F64" s="69"/>
      <c r="G64" s="70"/>
    </row>
    <row r="65" ht="12.75">
      <c r="B65" s="1" t="s">
        <v>61</v>
      </c>
    </row>
    <row r="67" spans="2:4" ht="12.75">
      <c r="B67" s="382" t="s">
        <v>62</v>
      </c>
      <c r="C67" s="383" t="s">
        <v>237</v>
      </c>
      <c r="D67" s="383"/>
    </row>
    <row r="68" spans="2:5" ht="24.75" customHeight="1">
      <c r="B68" s="382"/>
      <c r="C68" s="400" t="s">
        <v>238</v>
      </c>
      <c r="D68" s="400"/>
      <c r="E68" s="136" t="s">
        <v>194</v>
      </c>
    </row>
    <row r="70" spans="2:4" ht="12.75">
      <c r="B70" s="382" t="s">
        <v>62</v>
      </c>
      <c r="C70" s="55">
        <v>77088162.1</v>
      </c>
      <c r="D70" s="401">
        <f>C70/C71</f>
        <v>4197.101437360483</v>
      </c>
    </row>
    <row r="71" spans="2:6" ht="15.75">
      <c r="B71" s="382"/>
      <c r="C71" s="56">
        <v>18367</v>
      </c>
      <c r="D71" s="401"/>
      <c r="E71" s="137">
        <f>ROUND(D70,2)</f>
        <v>4197.1</v>
      </c>
      <c r="F71" s="131">
        <f>D70</f>
        <v>4197.101437360483</v>
      </c>
    </row>
    <row r="72" spans="2:5" ht="27">
      <c r="B72" s="18"/>
      <c r="C72" s="56"/>
      <c r="D72" s="57"/>
      <c r="E72" s="137"/>
    </row>
    <row r="73" spans="3:4" ht="15.75">
      <c r="C73" s="56"/>
      <c r="D73" s="58"/>
    </row>
    <row r="74" ht="12.75">
      <c r="B74" s="1" t="s">
        <v>67</v>
      </c>
    </row>
    <row r="76" spans="2:5" ht="23.25" customHeight="1">
      <c r="B76" s="382" t="s">
        <v>119</v>
      </c>
      <c r="C76" s="399" t="s">
        <v>358</v>
      </c>
      <c r="D76" s="411">
        <f>2*E71</f>
        <v>8394.2</v>
      </c>
      <c r="E76" s="138"/>
    </row>
    <row r="77" spans="2:5" ht="12.75" customHeight="1">
      <c r="B77" s="382"/>
      <c r="C77" s="399"/>
      <c r="D77" s="412"/>
      <c r="E77" s="139"/>
    </row>
    <row r="79" ht="12.75">
      <c r="B79" s="1" t="s">
        <v>120</v>
      </c>
    </row>
    <row r="81" spans="2:5" ht="12.75" customHeight="1">
      <c r="B81" s="382" t="s">
        <v>121</v>
      </c>
      <c r="C81" s="399" t="s">
        <v>359</v>
      </c>
      <c r="D81" s="411">
        <f>10*F71</f>
        <v>41971.014373604834</v>
      </c>
      <c r="E81" s="138"/>
    </row>
    <row r="82" spans="2:5" ht="12.75" customHeight="1">
      <c r="B82" s="382"/>
      <c r="C82" s="399"/>
      <c r="D82" s="411"/>
      <c r="E82" s="138"/>
    </row>
    <row r="84" ht="12.75">
      <c r="B84" s="1" t="s">
        <v>75</v>
      </c>
    </row>
    <row r="86" spans="2:5" ht="27" customHeight="1">
      <c r="B86" s="396" t="s">
        <v>76</v>
      </c>
      <c r="C86" s="397" t="s">
        <v>239</v>
      </c>
      <c r="D86" s="397"/>
      <c r="E86" s="398" t="s">
        <v>78</v>
      </c>
    </row>
    <row r="87" spans="2:5" ht="16.5">
      <c r="B87" s="396"/>
      <c r="C87" s="377">
        <v>100</v>
      </c>
      <c r="D87" s="377"/>
      <c r="E87" s="398"/>
    </row>
    <row r="88" spans="1:7" ht="18" customHeight="1">
      <c r="A88" s="66"/>
      <c r="B88" s="66"/>
      <c r="C88" s="66"/>
      <c r="D88" s="66"/>
      <c r="E88" s="140"/>
      <c r="F88" s="66"/>
      <c r="G88" s="66"/>
    </row>
    <row r="89" spans="1:3" ht="12.75">
      <c r="A89" s="402" t="s">
        <v>171</v>
      </c>
      <c r="B89" s="402"/>
      <c r="C89" s="402"/>
    </row>
    <row r="90" spans="1:3" ht="12.75">
      <c r="A90" s="402" t="s">
        <v>240</v>
      </c>
      <c r="B90" s="402"/>
      <c r="C90" s="402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8"/>
  <sheetViews>
    <sheetView tabSelected="1" zoomScalePageLayoutView="0" workbookViewId="0" topLeftCell="A1">
      <selection activeCell="F231" sqref="F231"/>
    </sheetView>
  </sheetViews>
  <sheetFormatPr defaultColWidth="11.421875" defaultRowHeight="12.75"/>
  <cols>
    <col min="1" max="1" width="5.7109375" style="60" customWidth="1"/>
    <col min="2" max="2" width="7.00390625" style="60" customWidth="1"/>
    <col min="3" max="3" width="7.421875" style="60" customWidth="1"/>
    <col min="4" max="4" width="13.00390625" style="60" customWidth="1"/>
    <col min="5" max="5" width="53.421875" style="60" customWidth="1"/>
    <col min="6" max="6" width="19.57421875" style="60" customWidth="1"/>
    <col min="7" max="7" width="14.8515625" style="60" customWidth="1"/>
    <col min="8" max="8" width="19.28125" style="61" customWidth="1"/>
    <col min="9" max="252" width="11.57421875" style="62" customWidth="1"/>
  </cols>
  <sheetData>
    <row r="1" spans="1:8" ht="14.25">
      <c r="A1" s="413" t="s">
        <v>441</v>
      </c>
      <c r="B1" s="413"/>
      <c r="C1" s="413"/>
      <c r="D1" s="413"/>
      <c r="E1" s="413"/>
      <c r="F1" s="413"/>
      <c r="G1" s="413"/>
      <c r="H1" s="413"/>
    </row>
    <row r="2" spans="1:8" ht="12.75">
      <c r="A2" s="414" t="s">
        <v>435</v>
      </c>
      <c r="B2" s="414"/>
      <c r="C2" s="414"/>
      <c r="D2" s="414"/>
      <c r="E2" s="414"/>
      <c r="F2" s="414"/>
      <c r="G2" s="414"/>
      <c r="H2" s="414"/>
    </row>
    <row r="3" spans="1:8" ht="12.75">
      <c r="A3" s="414" t="s">
        <v>442</v>
      </c>
      <c r="B3" s="414"/>
      <c r="C3" s="414"/>
      <c r="D3" s="414"/>
      <c r="E3" s="414"/>
      <c r="F3" s="414"/>
      <c r="G3" s="414"/>
      <c r="H3" s="414"/>
    </row>
    <row r="4" spans="1:8" ht="12.75">
      <c r="A4" s="248"/>
      <c r="B4" s="248"/>
      <c r="C4" s="248"/>
      <c r="D4" s="248"/>
      <c r="E4" s="248"/>
      <c r="F4" s="248"/>
      <c r="G4" s="248"/>
      <c r="H4" s="248"/>
    </row>
    <row r="5" spans="1:252" s="73" customFormat="1" ht="15">
      <c r="A5" s="71" t="s">
        <v>383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</row>
    <row r="6" spans="1:8" ht="46.5" customHeight="1">
      <c r="A6" s="74" t="s">
        <v>122</v>
      </c>
      <c r="B6" s="74" t="s">
        <v>123</v>
      </c>
      <c r="C6" s="74" t="s">
        <v>124</v>
      </c>
      <c r="D6" s="74" t="s">
        <v>125</v>
      </c>
      <c r="E6" s="74" t="s">
        <v>126</v>
      </c>
      <c r="F6" s="247" t="s">
        <v>437</v>
      </c>
      <c r="G6" s="251" t="s">
        <v>436</v>
      </c>
      <c r="H6" s="247" t="s">
        <v>438</v>
      </c>
    </row>
    <row r="7" spans="1:252" s="118" customFormat="1" ht="21.75" customHeight="1">
      <c r="A7" s="122" t="s">
        <v>191</v>
      </c>
      <c r="B7" s="122"/>
      <c r="C7" s="123"/>
      <c r="D7" s="123"/>
      <c r="E7" s="124" t="s">
        <v>193</v>
      </c>
      <c r="F7" s="257">
        <f>F8</f>
        <v>31300</v>
      </c>
      <c r="G7" s="257">
        <f>G8</f>
        <v>-15300</v>
      </c>
      <c r="H7" s="318">
        <f>H8</f>
        <v>16000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s="118" customFormat="1" ht="16.5" customHeight="1">
      <c r="A8" s="415"/>
      <c r="B8" s="125" t="s">
        <v>192</v>
      </c>
      <c r="C8" s="126"/>
      <c r="D8" s="126"/>
      <c r="E8" s="252" t="s">
        <v>136</v>
      </c>
      <c r="F8" s="258">
        <f>F9+F12</f>
        <v>31300</v>
      </c>
      <c r="G8" s="258">
        <f>G9+G12</f>
        <v>-15300</v>
      </c>
      <c r="H8" s="258">
        <f>H9+H12</f>
        <v>16000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s="118" customFormat="1" ht="17.25" customHeight="1">
      <c r="A9" s="416"/>
      <c r="B9" s="168"/>
      <c r="C9" s="301" t="s">
        <v>133</v>
      </c>
      <c r="D9" s="163"/>
      <c r="E9" s="253" t="s">
        <v>134</v>
      </c>
      <c r="F9" s="259">
        <f>F10+F11</f>
        <v>0</v>
      </c>
      <c r="G9" s="259">
        <f>G10+G11</f>
        <v>0</v>
      </c>
      <c r="H9" s="259">
        <f>H10+H11</f>
        <v>0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1:252" s="84" customFormat="1" ht="28.5" customHeight="1">
      <c r="A10" s="416"/>
      <c r="B10" s="168"/>
      <c r="C10" s="300"/>
      <c r="D10" s="94" t="s">
        <v>14</v>
      </c>
      <c r="E10" s="254" t="s">
        <v>394</v>
      </c>
      <c r="F10" s="287">
        <v>0</v>
      </c>
      <c r="G10" s="287"/>
      <c r="H10" s="319">
        <f>F10+G10</f>
        <v>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</row>
    <row r="11" spans="1:252" s="84" customFormat="1" ht="22.5" customHeight="1">
      <c r="A11" s="230"/>
      <c r="B11" s="231"/>
      <c r="C11" s="300"/>
      <c r="D11" s="305" t="s">
        <v>55</v>
      </c>
      <c r="E11" s="306" t="s">
        <v>427</v>
      </c>
      <c r="F11" s="307">
        <v>0</v>
      </c>
      <c r="G11" s="307"/>
      <c r="H11" s="311">
        <f>F11+G11</f>
        <v>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</row>
    <row r="12" spans="1:252" s="84" customFormat="1" ht="15" customHeight="1">
      <c r="A12" s="299"/>
      <c r="B12" s="231"/>
      <c r="C12" s="96" t="s">
        <v>212</v>
      </c>
      <c r="D12" s="163"/>
      <c r="E12" s="309" t="s">
        <v>213</v>
      </c>
      <c r="F12" s="310">
        <f>F13+F14+F15</f>
        <v>31300</v>
      </c>
      <c r="G12" s="310">
        <f>G13+G14+G15</f>
        <v>-15300</v>
      </c>
      <c r="H12" s="310">
        <f>H13+H14+H15</f>
        <v>16000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</row>
    <row r="13" spans="1:252" s="84" customFormat="1" ht="25.5" customHeight="1">
      <c r="A13" s="299"/>
      <c r="B13" s="231"/>
      <c r="C13" s="301"/>
      <c r="D13" s="94" t="s">
        <v>14</v>
      </c>
      <c r="E13" s="254" t="s">
        <v>394</v>
      </c>
      <c r="F13" s="307">
        <v>15300</v>
      </c>
      <c r="G13" s="307">
        <v>-15300</v>
      </c>
      <c r="H13" s="311">
        <f>F13+G13</f>
        <v>0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</row>
    <row r="14" spans="1:252" s="84" customFormat="1" ht="17.25" customHeight="1">
      <c r="A14" s="299"/>
      <c r="B14" s="231"/>
      <c r="C14" s="301"/>
      <c r="D14" s="302" t="s">
        <v>38</v>
      </c>
      <c r="E14" s="303" t="s">
        <v>439</v>
      </c>
      <c r="F14" s="260">
        <v>6000</v>
      </c>
      <c r="G14" s="260"/>
      <c r="H14" s="311">
        <f>F14+G14</f>
        <v>6000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</row>
    <row r="15" spans="1:252" s="84" customFormat="1" ht="21.75" customHeight="1">
      <c r="A15" s="299"/>
      <c r="B15" s="231"/>
      <c r="C15" s="301"/>
      <c r="D15" s="305" t="s">
        <v>55</v>
      </c>
      <c r="E15" s="306" t="s">
        <v>427</v>
      </c>
      <c r="F15" s="260">
        <v>10000</v>
      </c>
      <c r="G15" s="260"/>
      <c r="H15" s="311">
        <f>F15+G15</f>
        <v>10000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</row>
    <row r="16" spans="1:252" s="118" customFormat="1" ht="24" customHeight="1">
      <c r="A16" s="111" t="s">
        <v>127</v>
      </c>
      <c r="B16" s="111"/>
      <c r="C16" s="308"/>
      <c r="D16" s="313"/>
      <c r="E16" s="314" t="s">
        <v>128</v>
      </c>
      <c r="F16" s="261">
        <f>F17</f>
        <v>33000</v>
      </c>
      <c r="G16" s="320">
        <f>G17</f>
        <v>-1500</v>
      </c>
      <c r="H16" s="321">
        <f>H17</f>
        <v>33000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s="118" customFormat="1" ht="16.5" customHeight="1">
      <c r="A17" s="106"/>
      <c r="B17" s="104" t="s">
        <v>129</v>
      </c>
      <c r="C17" s="101"/>
      <c r="D17" s="101"/>
      <c r="E17" s="102" t="s">
        <v>130</v>
      </c>
      <c r="F17" s="262">
        <f>F18+F21</f>
        <v>33000</v>
      </c>
      <c r="G17" s="262">
        <f>G18+G21</f>
        <v>-1500</v>
      </c>
      <c r="H17" s="322">
        <f>H18+H21</f>
        <v>33000</v>
      </c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s="118" customFormat="1" ht="16.5" customHeight="1">
      <c r="A18" s="108"/>
      <c r="B18" s="108"/>
      <c r="C18" s="97" t="s">
        <v>131</v>
      </c>
      <c r="D18" s="97"/>
      <c r="E18" s="98" t="s">
        <v>132</v>
      </c>
      <c r="F18" s="263">
        <f>F19+F20</f>
        <v>3500</v>
      </c>
      <c r="G18" s="263">
        <f>G19+G20</f>
        <v>0</v>
      </c>
      <c r="H18" s="323">
        <f>SUM(H19:H20)</f>
        <v>3500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1:252" s="84" customFormat="1" ht="24.75" customHeight="1">
      <c r="A19" s="79"/>
      <c r="B19" s="79"/>
      <c r="C19" s="80"/>
      <c r="D19" s="90" t="s">
        <v>20</v>
      </c>
      <c r="E19" s="91" t="s">
        <v>385</v>
      </c>
      <c r="F19" s="264">
        <v>3000</v>
      </c>
      <c r="G19" s="264"/>
      <c r="H19" s="324">
        <v>3000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</row>
    <row r="20" spans="1:252" s="84" customFormat="1" ht="18.75" customHeight="1">
      <c r="A20" s="79"/>
      <c r="B20" s="79"/>
      <c r="C20" s="80"/>
      <c r="D20" s="85" t="s">
        <v>34</v>
      </c>
      <c r="E20" s="86" t="s">
        <v>254</v>
      </c>
      <c r="F20" s="265">
        <v>500</v>
      </c>
      <c r="G20" s="265"/>
      <c r="H20" s="325">
        <v>500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</row>
    <row r="21" spans="1:252" s="84" customFormat="1" ht="16.5" customHeight="1">
      <c r="A21" s="79"/>
      <c r="B21" s="79"/>
      <c r="C21" s="97" t="s">
        <v>133</v>
      </c>
      <c r="D21" s="97"/>
      <c r="E21" s="98" t="s">
        <v>134</v>
      </c>
      <c r="F21" s="263">
        <f>F22+F23+F24+F25+F26+F27+F28+F29</f>
        <v>29500</v>
      </c>
      <c r="G21" s="263">
        <f>G22+G23+G24+G25+G26+G27+G28+G29</f>
        <v>-1500</v>
      </c>
      <c r="H21" s="323">
        <f>SUM(H22:H29)</f>
        <v>29500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</row>
    <row r="22" spans="1:252" s="84" customFormat="1" ht="20.25" customHeight="1">
      <c r="A22" s="79"/>
      <c r="B22" s="79"/>
      <c r="C22" s="158"/>
      <c r="D22" s="85" t="s">
        <v>14</v>
      </c>
      <c r="E22" s="86" t="s">
        <v>211</v>
      </c>
      <c r="F22" s="265">
        <v>3000</v>
      </c>
      <c r="G22" s="265"/>
      <c r="H22" s="325">
        <v>3000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</row>
    <row r="23" spans="1:252" s="84" customFormat="1" ht="16.5" customHeight="1">
      <c r="A23" s="79"/>
      <c r="B23" s="79"/>
      <c r="C23" s="80"/>
      <c r="D23" s="90" t="s">
        <v>23</v>
      </c>
      <c r="E23" s="91" t="s">
        <v>249</v>
      </c>
      <c r="F23" s="264">
        <v>4000</v>
      </c>
      <c r="G23" s="264"/>
      <c r="H23" s="325">
        <v>4000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</row>
    <row r="24" spans="1:252" s="84" customFormat="1" ht="15" customHeight="1">
      <c r="A24" s="79"/>
      <c r="B24" s="79"/>
      <c r="C24" s="80"/>
      <c r="D24" s="90" t="s">
        <v>115</v>
      </c>
      <c r="E24" s="91" t="s">
        <v>362</v>
      </c>
      <c r="F24" s="264">
        <v>2000</v>
      </c>
      <c r="G24" s="264"/>
      <c r="H24" s="325">
        <v>2000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</row>
    <row r="25" spans="1:252" s="84" customFormat="1" ht="17.25" customHeight="1">
      <c r="A25" s="79"/>
      <c r="B25" s="79"/>
      <c r="C25" s="80"/>
      <c r="D25" s="90" t="s">
        <v>34</v>
      </c>
      <c r="E25" s="91" t="s">
        <v>190</v>
      </c>
      <c r="F25" s="264">
        <v>1500</v>
      </c>
      <c r="G25" s="264">
        <v>-1500</v>
      </c>
      <c r="H25" s="325">
        <v>1500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</row>
    <row r="26" spans="1:252" s="84" customFormat="1" ht="17.25" customHeight="1">
      <c r="A26" s="79"/>
      <c r="B26" s="79"/>
      <c r="C26" s="80"/>
      <c r="D26" s="90" t="s">
        <v>40</v>
      </c>
      <c r="E26" s="91" t="s">
        <v>135</v>
      </c>
      <c r="F26" s="264">
        <v>2000</v>
      </c>
      <c r="G26" s="264"/>
      <c r="H26" s="324">
        <v>2000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</row>
    <row r="27" spans="1:252" s="84" customFormat="1" ht="12.75">
      <c r="A27" s="79"/>
      <c r="B27" s="79"/>
      <c r="C27" s="80"/>
      <c r="D27" s="90" t="s">
        <v>43</v>
      </c>
      <c r="E27" s="91" t="s">
        <v>381</v>
      </c>
      <c r="F27" s="264">
        <v>5000</v>
      </c>
      <c r="G27" s="264"/>
      <c r="H27" s="324">
        <v>5000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</row>
    <row r="28" spans="1:252" s="84" customFormat="1" ht="27.75" customHeight="1">
      <c r="A28" s="237"/>
      <c r="B28" s="233"/>
      <c r="C28" s="235"/>
      <c r="D28" s="161" t="s">
        <v>52</v>
      </c>
      <c r="E28" s="162" t="s">
        <v>392</v>
      </c>
      <c r="F28" s="266">
        <v>10000</v>
      </c>
      <c r="G28" s="266"/>
      <c r="H28" s="324">
        <v>10000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</row>
    <row r="29" spans="1:252" s="84" customFormat="1" ht="23.25" customHeight="1">
      <c r="A29" s="165"/>
      <c r="B29" s="165"/>
      <c r="C29" s="236"/>
      <c r="D29" s="163" t="s">
        <v>41</v>
      </c>
      <c r="E29" s="173" t="s">
        <v>395</v>
      </c>
      <c r="F29" s="267">
        <v>2000</v>
      </c>
      <c r="G29" s="267"/>
      <c r="H29" s="326">
        <v>2000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</row>
    <row r="30" spans="1:252" s="118" customFormat="1" ht="16.5" customHeight="1">
      <c r="A30" s="111" t="s">
        <v>214</v>
      </c>
      <c r="B30" s="111"/>
      <c r="C30" s="111"/>
      <c r="D30" s="111"/>
      <c r="E30" s="105" t="s">
        <v>215</v>
      </c>
      <c r="F30" s="268">
        <f>F31</f>
        <v>11200</v>
      </c>
      <c r="G30" s="268">
        <f>G31</f>
        <v>1500</v>
      </c>
      <c r="H30" s="327">
        <f>H31</f>
        <v>12700</v>
      </c>
      <c r="J30" s="22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s="118" customFormat="1" ht="16.5" customHeight="1">
      <c r="A31" s="106"/>
      <c r="B31" s="104" t="s">
        <v>216</v>
      </c>
      <c r="C31" s="291"/>
      <c r="D31" s="291"/>
      <c r="E31" s="360" t="s">
        <v>136</v>
      </c>
      <c r="F31" s="361">
        <f>F34+F39+F32</f>
        <v>11200</v>
      </c>
      <c r="G31" s="361">
        <f>G34+G39+G32</f>
        <v>1500</v>
      </c>
      <c r="H31" s="361">
        <f>H34+H39+H32</f>
        <v>12700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s="118" customFormat="1" ht="16.5" customHeight="1">
      <c r="A32" s="250"/>
      <c r="B32" s="238"/>
      <c r="C32" s="369" t="s">
        <v>158</v>
      </c>
      <c r="D32" s="367"/>
      <c r="E32" s="121" t="s">
        <v>159</v>
      </c>
      <c r="F32" s="368">
        <f>F33</f>
        <v>0</v>
      </c>
      <c r="G32" s="368">
        <f>G33</f>
        <v>1500</v>
      </c>
      <c r="H32" s="368">
        <f>H33</f>
        <v>1500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</row>
    <row r="33" spans="1:252" s="118" customFormat="1" ht="16.5" customHeight="1">
      <c r="A33" s="250"/>
      <c r="B33" s="238"/>
      <c r="C33" s="366"/>
      <c r="D33" s="370" t="s">
        <v>34</v>
      </c>
      <c r="E33" s="371" t="s">
        <v>444</v>
      </c>
      <c r="F33" s="372">
        <v>0</v>
      </c>
      <c r="G33" s="372">
        <v>1500</v>
      </c>
      <c r="H33" s="373">
        <f>F33+G33</f>
        <v>1500</v>
      </c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</row>
    <row r="34" spans="1:252" s="118" customFormat="1" ht="16.5" customHeight="1">
      <c r="A34" s="106"/>
      <c r="B34" s="238"/>
      <c r="C34" s="362" t="s">
        <v>131</v>
      </c>
      <c r="D34" s="363"/>
      <c r="E34" s="364" t="s">
        <v>132</v>
      </c>
      <c r="F34" s="294">
        <f>F35+F36+F37+F38</f>
        <v>9500</v>
      </c>
      <c r="G34" s="294">
        <f>G35+G36+G37+G38</f>
        <v>0</v>
      </c>
      <c r="H34" s="365">
        <f>H35+H36+H37+H38</f>
        <v>9500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</row>
    <row r="35" spans="1:252" s="118" customFormat="1" ht="16.5" customHeight="1">
      <c r="A35" s="106"/>
      <c r="B35" s="238"/>
      <c r="C35" s="417"/>
      <c r="D35" s="288" t="s">
        <v>20</v>
      </c>
      <c r="E35" s="160" t="s">
        <v>396</v>
      </c>
      <c r="F35" s="269">
        <v>1500</v>
      </c>
      <c r="G35" s="269"/>
      <c r="H35" s="328">
        <v>1500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</row>
    <row r="36" spans="1:252" s="118" customFormat="1" ht="16.5" customHeight="1">
      <c r="A36" s="232"/>
      <c r="B36" s="238"/>
      <c r="C36" s="418"/>
      <c r="D36" s="289" t="s">
        <v>115</v>
      </c>
      <c r="E36" s="239" t="s">
        <v>387</v>
      </c>
      <c r="F36" s="270">
        <v>1000</v>
      </c>
      <c r="G36" s="270"/>
      <c r="H36" s="328">
        <v>1000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</row>
    <row r="37" spans="1:252" s="118" customFormat="1" ht="18.75" customHeight="1">
      <c r="A37" s="232"/>
      <c r="B37" s="238"/>
      <c r="C37" s="418"/>
      <c r="D37" s="290" t="s">
        <v>38</v>
      </c>
      <c r="E37" s="239" t="s">
        <v>443</v>
      </c>
      <c r="F37" s="270">
        <v>4000</v>
      </c>
      <c r="G37" s="270">
        <v>0</v>
      </c>
      <c r="H37" s="328">
        <f>F37+G37</f>
        <v>4000</v>
      </c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</row>
    <row r="38" spans="1:252" s="118" customFormat="1" ht="22.5" customHeight="1">
      <c r="A38" s="232"/>
      <c r="B38" s="238"/>
      <c r="C38" s="419"/>
      <c r="D38" s="290" t="s">
        <v>40</v>
      </c>
      <c r="E38" s="239" t="s">
        <v>397</v>
      </c>
      <c r="F38" s="270">
        <v>3000</v>
      </c>
      <c r="G38" s="270"/>
      <c r="H38" s="328">
        <v>3000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</row>
    <row r="39" spans="1:252" s="118" customFormat="1" ht="16.5" customHeight="1">
      <c r="A39" s="108"/>
      <c r="B39" s="108"/>
      <c r="C39" s="96" t="s">
        <v>133</v>
      </c>
      <c r="D39" s="127"/>
      <c r="E39" s="128" t="s">
        <v>134</v>
      </c>
      <c r="F39" s="271">
        <f>F40</f>
        <v>1700</v>
      </c>
      <c r="G39" s="271">
        <f>G40</f>
        <v>0</v>
      </c>
      <c r="H39" s="323">
        <f>H40</f>
        <v>1700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</row>
    <row r="40" spans="1:252" s="84" customFormat="1" ht="23.25" customHeight="1">
      <c r="A40" s="79"/>
      <c r="B40" s="79"/>
      <c r="C40" s="82"/>
      <c r="D40" s="90" t="s">
        <v>115</v>
      </c>
      <c r="E40" s="145" t="s">
        <v>387</v>
      </c>
      <c r="F40" s="272">
        <v>1700</v>
      </c>
      <c r="G40" s="272"/>
      <c r="H40" s="324">
        <v>1700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</row>
    <row r="41" spans="1:252" s="84" customFormat="1" ht="18" customHeight="1">
      <c r="A41" s="166" t="s">
        <v>258</v>
      </c>
      <c r="B41" s="166"/>
      <c r="C41" s="166"/>
      <c r="D41" s="166"/>
      <c r="E41" s="167" t="s">
        <v>261</v>
      </c>
      <c r="F41" s="258">
        <f aca="true" t="shared" si="0" ref="F41:H43">F42</f>
        <v>10000</v>
      </c>
      <c r="G41" s="258">
        <f t="shared" si="0"/>
        <v>0</v>
      </c>
      <c r="H41" s="329">
        <f t="shared" si="0"/>
        <v>10000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</row>
    <row r="42" spans="1:252" s="84" customFormat="1" ht="18" customHeight="1">
      <c r="A42" s="168"/>
      <c r="B42" s="169" t="s">
        <v>259</v>
      </c>
      <c r="C42" s="169"/>
      <c r="D42" s="169"/>
      <c r="E42" s="170" t="s">
        <v>262</v>
      </c>
      <c r="F42" s="273">
        <f t="shared" si="0"/>
        <v>10000</v>
      </c>
      <c r="G42" s="273">
        <f t="shared" si="0"/>
        <v>0</v>
      </c>
      <c r="H42" s="330">
        <f t="shared" si="0"/>
        <v>10000</v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</row>
    <row r="43" spans="1:252" s="84" customFormat="1" ht="20.25" customHeight="1">
      <c r="A43" s="79"/>
      <c r="B43" s="231"/>
      <c r="C43" s="164" t="s">
        <v>133</v>
      </c>
      <c r="D43" s="165"/>
      <c r="E43" s="255" t="s">
        <v>134</v>
      </c>
      <c r="F43" s="259">
        <f t="shared" si="0"/>
        <v>10000</v>
      </c>
      <c r="G43" s="259">
        <f t="shared" si="0"/>
        <v>0</v>
      </c>
      <c r="H43" s="331">
        <f t="shared" si="0"/>
        <v>10000</v>
      </c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</row>
    <row r="44" spans="1:252" s="84" customFormat="1" ht="33.75" customHeight="1">
      <c r="A44" s="79"/>
      <c r="B44" s="79"/>
      <c r="C44" s="80"/>
      <c r="D44" s="144" t="s">
        <v>35</v>
      </c>
      <c r="E44" s="256" t="s">
        <v>398</v>
      </c>
      <c r="F44" s="267">
        <v>10000</v>
      </c>
      <c r="G44" s="267"/>
      <c r="H44" s="332">
        <v>10000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</row>
    <row r="45" spans="1:252" s="118" customFormat="1" ht="16.5" customHeight="1">
      <c r="A45" s="111" t="s">
        <v>137</v>
      </c>
      <c r="B45" s="111"/>
      <c r="C45" s="111"/>
      <c r="D45" s="111"/>
      <c r="E45" s="105" t="s">
        <v>138</v>
      </c>
      <c r="F45" s="261">
        <f>F46</f>
        <v>39549.05</v>
      </c>
      <c r="G45" s="261">
        <f>G46</f>
        <v>0</v>
      </c>
      <c r="H45" s="317">
        <f>H46</f>
        <v>39549.05</v>
      </c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</row>
    <row r="46" spans="1:252" s="118" customFormat="1" ht="16.5" customHeight="1">
      <c r="A46" s="106"/>
      <c r="B46" s="104" t="s">
        <v>139</v>
      </c>
      <c r="C46" s="101"/>
      <c r="D46" s="101"/>
      <c r="E46" s="102" t="s">
        <v>140</v>
      </c>
      <c r="F46" s="262">
        <f>F47+F52</f>
        <v>39549.05</v>
      </c>
      <c r="G46" s="262">
        <f>G47+G52</f>
        <v>0</v>
      </c>
      <c r="H46" s="333">
        <f>H47+H52</f>
        <v>39549.05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</row>
    <row r="47" spans="1:252" s="118" customFormat="1" ht="16.5" customHeight="1">
      <c r="A47" s="108"/>
      <c r="B47" s="108"/>
      <c r="C47" s="97" t="s">
        <v>131</v>
      </c>
      <c r="D47" s="97"/>
      <c r="E47" s="98" t="s">
        <v>132</v>
      </c>
      <c r="F47" s="263">
        <f>F48+F49+F50+F51</f>
        <v>16000</v>
      </c>
      <c r="G47" s="263">
        <f>G48+G49+G50+G51</f>
        <v>0</v>
      </c>
      <c r="H47" s="334">
        <f>SUM(H48:H51)</f>
        <v>16000</v>
      </c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</row>
    <row r="48" spans="1:252" s="118" customFormat="1" ht="16.5" customHeight="1">
      <c r="A48" s="108"/>
      <c r="B48" s="108"/>
      <c r="C48" s="158"/>
      <c r="D48" s="85" t="s">
        <v>113</v>
      </c>
      <c r="E48" s="86" t="s">
        <v>428</v>
      </c>
      <c r="F48" s="265">
        <v>1000</v>
      </c>
      <c r="G48" s="265"/>
      <c r="H48" s="335">
        <v>1000</v>
      </c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</row>
    <row r="49" spans="1:252" s="84" customFormat="1" ht="17.25" customHeight="1">
      <c r="A49" s="79"/>
      <c r="B49" s="79"/>
      <c r="C49" s="80"/>
      <c r="D49" s="85" t="s">
        <v>14</v>
      </c>
      <c r="E49" s="86" t="s">
        <v>384</v>
      </c>
      <c r="F49" s="265">
        <v>4000</v>
      </c>
      <c r="G49" s="265"/>
      <c r="H49" s="336">
        <v>4000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</row>
    <row r="50" spans="1:252" s="84" customFormat="1" ht="17.25" customHeight="1">
      <c r="A50" s="79"/>
      <c r="B50" s="79"/>
      <c r="C50" s="80"/>
      <c r="D50" s="85" t="s">
        <v>40</v>
      </c>
      <c r="E50" s="86" t="s">
        <v>389</v>
      </c>
      <c r="F50" s="265">
        <v>1000</v>
      </c>
      <c r="G50" s="265"/>
      <c r="H50" s="336">
        <v>1000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</row>
    <row r="51" spans="1:252" s="84" customFormat="1" ht="17.25" customHeight="1">
      <c r="A51" s="79"/>
      <c r="B51" s="79"/>
      <c r="C51" s="80"/>
      <c r="D51" s="85" t="s">
        <v>43</v>
      </c>
      <c r="E51" s="86" t="s">
        <v>236</v>
      </c>
      <c r="F51" s="274">
        <v>10000</v>
      </c>
      <c r="G51" s="274"/>
      <c r="H51" s="335">
        <v>10000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</row>
    <row r="52" spans="1:252" s="84" customFormat="1" ht="16.5" customHeight="1">
      <c r="A52" s="79"/>
      <c r="B52" s="141"/>
      <c r="C52" s="142" t="s">
        <v>212</v>
      </c>
      <c r="D52" s="146"/>
      <c r="E52" s="147" t="s">
        <v>213</v>
      </c>
      <c r="F52" s="259">
        <f>F53</f>
        <v>23549.05</v>
      </c>
      <c r="G52" s="259">
        <f>G53</f>
        <v>0</v>
      </c>
      <c r="H52" s="337">
        <f>H53</f>
        <v>23549.05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</row>
    <row r="53" spans="1:252" s="84" customFormat="1" ht="25.5" customHeight="1">
      <c r="A53" s="79"/>
      <c r="B53" s="79"/>
      <c r="C53" s="80"/>
      <c r="D53" s="85" t="s">
        <v>40</v>
      </c>
      <c r="E53" s="86" t="s">
        <v>440</v>
      </c>
      <c r="F53" s="275">
        <v>23549.05</v>
      </c>
      <c r="G53" s="275"/>
      <c r="H53" s="335">
        <v>23549.05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</row>
    <row r="54" spans="1:252" s="118" customFormat="1" ht="16.5" customHeight="1">
      <c r="A54" s="111" t="s">
        <v>142</v>
      </c>
      <c r="B54" s="111"/>
      <c r="C54" s="111"/>
      <c r="D54" s="111"/>
      <c r="E54" s="105" t="s">
        <v>143</v>
      </c>
      <c r="F54" s="268">
        <f>F55</f>
        <v>15300</v>
      </c>
      <c r="G54" s="268">
        <f>G55</f>
        <v>0</v>
      </c>
      <c r="H54" s="317">
        <f>H55</f>
        <v>15300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</row>
    <row r="55" spans="1:252" s="118" customFormat="1" ht="16.5" customHeight="1">
      <c r="A55" s="112"/>
      <c r="B55" s="111" t="s">
        <v>217</v>
      </c>
      <c r="C55" s="111"/>
      <c r="D55" s="111"/>
      <c r="E55" s="105" t="s">
        <v>218</v>
      </c>
      <c r="F55" s="268">
        <f>F56+F59+F61</f>
        <v>15300</v>
      </c>
      <c r="G55" s="268">
        <f>G56+G59+G61</f>
        <v>0</v>
      </c>
      <c r="H55" s="268">
        <f>H56+H59+H61</f>
        <v>15300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</row>
    <row r="56" spans="1:252" s="118" customFormat="1" ht="16.5" customHeight="1">
      <c r="A56" s="112"/>
      <c r="B56" s="148"/>
      <c r="C56" s="97" t="s">
        <v>131</v>
      </c>
      <c r="D56" s="97"/>
      <c r="E56" s="98" t="s">
        <v>132</v>
      </c>
      <c r="F56" s="263">
        <f>F57+F58</f>
        <v>8300</v>
      </c>
      <c r="G56" s="263">
        <f>G57+G58</f>
        <v>-8000</v>
      </c>
      <c r="H56" s="338">
        <f>H57+H58</f>
        <v>300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</row>
    <row r="57" spans="1:252" s="118" customFormat="1" ht="24.75" customHeight="1">
      <c r="A57" s="112"/>
      <c r="B57" s="148"/>
      <c r="C57" s="97"/>
      <c r="D57" s="85" t="s">
        <v>20</v>
      </c>
      <c r="E57" s="86" t="s">
        <v>257</v>
      </c>
      <c r="F57" s="265">
        <v>300</v>
      </c>
      <c r="G57" s="265"/>
      <c r="H57" s="272">
        <v>300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</row>
    <row r="58" spans="1:252" s="118" customFormat="1" ht="24.75" customHeight="1">
      <c r="A58" s="112"/>
      <c r="B58" s="148"/>
      <c r="C58" s="97"/>
      <c r="D58" s="85" t="s">
        <v>43</v>
      </c>
      <c r="E58" s="86" t="s">
        <v>399</v>
      </c>
      <c r="F58" s="265">
        <v>8000</v>
      </c>
      <c r="G58" s="265">
        <v>-8000</v>
      </c>
      <c r="H58" s="272">
        <f>F58+G58</f>
        <v>0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</row>
    <row r="59" spans="1:252" s="118" customFormat="1" ht="16.5" customHeight="1">
      <c r="A59" s="108"/>
      <c r="B59" s="108"/>
      <c r="C59" s="97" t="s">
        <v>133</v>
      </c>
      <c r="D59" s="97"/>
      <c r="E59" s="128" t="s">
        <v>134</v>
      </c>
      <c r="F59" s="271">
        <f>F60</f>
        <v>7000</v>
      </c>
      <c r="G59" s="271">
        <f>G60</f>
        <v>-7000</v>
      </c>
      <c r="H59" s="339">
        <f>SUM(H60:H60)</f>
        <v>0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</row>
    <row r="60" spans="1:252" s="84" customFormat="1" ht="27" customHeight="1">
      <c r="A60" s="79"/>
      <c r="B60" s="79"/>
      <c r="C60" s="80"/>
      <c r="D60" s="90" t="s">
        <v>43</v>
      </c>
      <c r="E60" s="86" t="s">
        <v>399</v>
      </c>
      <c r="F60" s="265">
        <v>7000</v>
      </c>
      <c r="G60" s="265">
        <v>-7000</v>
      </c>
      <c r="H60" s="264">
        <f>F60+G60</f>
        <v>0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</row>
    <row r="61" spans="1:252" s="84" customFormat="1" ht="16.5" customHeight="1">
      <c r="A61" s="79"/>
      <c r="B61" s="231"/>
      <c r="C61" s="142" t="s">
        <v>212</v>
      </c>
      <c r="D61" s="315"/>
      <c r="E61" s="147" t="s">
        <v>213</v>
      </c>
      <c r="F61" s="265">
        <f>F62</f>
        <v>0</v>
      </c>
      <c r="G61" s="265">
        <f>G62</f>
        <v>15000</v>
      </c>
      <c r="H61" s="265">
        <f>H62</f>
        <v>15000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</row>
    <row r="62" spans="1:252" s="84" customFormat="1" ht="27" customHeight="1">
      <c r="A62" s="79"/>
      <c r="B62" s="231"/>
      <c r="C62" s="316"/>
      <c r="D62" s="315"/>
      <c r="E62" s="86" t="s">
        <v>399</v>
      </c>
      <c r="F62" s="265">
        <v>0</v>
      </c>
      <c r="G62" s="265">
        <v>15000</v>
      </c>
      <c r="H62" s="264">
        <f>F62+G62</f>
        <v>15000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</row>
    <row r="63" spans="1:252" s="118" customFormat="1" ht="16.5" customHeight="1">
      <c r="A63" s="111" t="s">
        <v>144</v>
      </c>
      <c r="B63" s="111"/>
      <c r="C63" s="308"/>
      <c r="D63" s="111"/>
      <c r="E63" s="105" t="s">
        <v>145</v>
      </c>
      <c r="F63" s="268">
        <f>F64+F85</f>
        <v>92289.14</v>
      </c>
      <c r="G63" s="268">
        <f>G64+G85</f>
        <v>0</v>
      </c>
      <c r="H63" s="317">
        <f>H64+H85</f>
        <v>92289.14</v>
      </c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</row>
    <row r="64" spans="1:252" s="118" customFormat="1" ht="16.5" customHeight="1">
      <c r="A64" s="106"/>
      <c r="B64" s="104" t="s">
        <v>146</v>
      </c>
      <c r="C64" s="101"/>
      <c r="D64" s="101"/>
      <c r="E64" s="102" t="s">
        <v>147</v>
      </c>
      <c r="F64" s="262">
        <f>F65+F76+F82</f>
        <v>51994.84</v>
      </c>
      <c r="G64" s="262">
        <f>G65+G76+G82</f>
        <v>0</v>
      </c>
      <c r="H64" s="333">
        <f>H65+H76+H82</f>
        <v>51994.84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</row>
    <row r="65" spans="1:252" s="118" customFormat="1" ht="16.5" customHeight="1">
      <c r="A65" s="108"/>
      <c r="B65" s="108"/>
      <c r="C65" s="97" t="s">
        <v>131</v>
      </c>
      <c r="D65" s="97"/>
      <c r="E65" s="98" t="s">
        <v>132</v>
      </c>
      <c r="F65" s="263">
        <f>F66+F67+F68+F69+F70+F71+F72+F73+F74+F75</f>
        <v>37094.84</v>
      </c>
      <c r="G65" s="263">
        <f>G66+G67+G68+G69+G70+G71+G72+G73+G74+G75</f>
        <v>0</v>
      </c>
      <c r="H65" s="334">
        <f>SUM(H66:H75)</f>
        <v>37094.84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</row>
    <row r="66" spans="1:252" s="84" customFormat="1" ht="16.5" customHeight="1">
      <c r="A66" s="79"/>
      <c r="B66" s="79"/>
      <c r="C66" s="82"/>
      <c r="D66" s="90" t="s">
        <v>112</v>
      </c>
      <c r="E66" s="91" t="s">
        <v>169</v>
      </c>
      <c r="F66" s="264">
        <v>9000</v>
      </c>
      <c r="G66" s="264"/>
      <c r="H66" s="336">
        <v>9000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</row>
    <row r="67" spans="1:252" s="84" customFormat="1" ht="16.5" customHeight="1">
      <c r="A67" s="79"/>
      <c r="B67" s="79"/>
      <c r="C67" s="82"/>
      <c r="D67" s="90" t="s">
        <v>11</v>
      </c>
      <c r="E67" s="91" t="s">
        <v>204</v>
      </c>
      <c r="F67" s="264">
        <v>5094.84</v>
      </c>
      <c r="G67" s="264"/>
      <c r="H67" s="336">
        <v>5094.84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</row>
    <row r="68" spans="1:252" s="84" customFormat="1" ht="16.5" customHeight="1">
      <c r="A68" s="79"/>
      <c r="B68" s="79"/>
      <c r="C68" s="82"/>
      <c r="D68" s="90" t="s">
        <v>14</v>
      </c>
      <c r="E68" s="91" t="s">
        <v>247</v>
      </c>
      <c r="F68" s="264">
        <v>1500</v>
      </c>
      <c r="G68" s="264"/>
      <c r="H68" s="336">
        <v>1500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</row>
    <row r="69" spans="1:252" s="84" customFormat="1" ht="39.75" customHeight="1">
      <c r="A69" s="79"/>
      <c r="B69" s="79"/>
      <c r="C69" s="80"/>
      <c r="D69" s="85" t="s">
        <v>20</v>
      </c>
      <c r="E69" s="86" t="s">
        <v>429</v>
      </c>
      <c r="F69" s="265">
        <v>4000</v>
      </c>
      <c r="G69" s="265"/>
      <c r="H69" s="336">
        <v>4000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</row>
    <row r="70" spans="1:252" s="84" customFormat="1" ht="16.5" customHeight="1">
      <c r="A70" s="79"/>
      <c r="B70" s="79"/>
      <c r="C70" s="80"/>
      <c r="D70" s="85" t="s">
        <v>115</v>
      </c>
      <c r="E70" s="86" t="s">
        <v>200</v>
      </c>
      <c r="F70" s="265">
        <v>700</v>
      </c>
      <c r="G70" s="265"/>
      <c r="H70" s="336">
        <v>700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</row>
    <row r="71" spans="1:252" s="84" customFormat="1" ht="16.5" customHeight="1">
      <c r="A71" s="79"/>
      <c r="B71" s="79"/>
      <c r="C71" s="80"/>
      <c r="D71" s="85" t="s">
        <v>40</v>
      </c>
      <c r="E71" s="119" t="s">
        <v>219</v>
      </c>
      <c r="F71" s="276">
        <v>2200</v>
      </c>
      <c r="G71" s="276"/>
      <c r="H71" s="335">
        <v>2200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</row>
    <row r="72" spans="1:252" s="84" customFormat="1" ht="16.5" customHeight="1">
      <c r="A72" s="79"/>
      <c r="B72" s="79"/>
      <c r="C72" s="80"/>
      <c r="D72" s="85" t="s">
        <v>52</v>
      </c>
      <c r="E72" s="119" t="s">
        <v>219</v>
      </c>
      <c r="F72" s="276">
        <v>2000</v>
      </c>
      <c r="G72" s="276"/>
      <c r="H72" s="335">
        <v>2000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</row>
    <row r="73" spans="1:252" s="84" customFormat="1" ht="18" customHeight="1">
      <c r="A73" s="79"/>
      <c r="B73" s="79"/>
      <c r="C73" s="80"/>
      <c r="D73" s="85" t="s">
        <v>55</v>
      </c>
      <c r="E73" s="119" t="s">
        <v>234</v>
      </c>
      <c r="F73" s="276">
        <v>2500</v>
      </c>
      <c r="G73" s="276"/>
      <c r="H73" s="335">
        <v>2500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</row>
    <row r="74" spans="1:252" s="84" customFormat="1" ht="34.5" customHeight="1">
      <c r="A74" s="79"/>
      <c r="B74" s="79"/>
      <c r="C74" s="80"/>
      <c r="D74" s="85" t="s">
        <v>58</v>
      </c>
      <c r="E74" s="119" t="s">
        <v>400</v>
      </c>
      <c r="F74" s="276">
        <v>9800</v>
      </c>
      <c r="G74" s="276"/>
      <c r="H74" s="335">
        <v>9800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</row>
    <row r="75" spans="1:252" s="84" customFormat="1" ht="25.5" customHeight="1">
      <c r="A75" s="79"/>
      <c r="B75" s="79"/>
      <c r="C75" s="80"/>
      <c r="D75" s="143" t="s">
        <v>41</v>
      </c>
      <c r="E75" s="119" t="s">
        <v>219</v>
      </c>
      <c r="F75" s="276">
        <v>300</v>
      </c>
      <c r="G75" s="276"/>
      <c r="H75" s="335">
        <v>300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</row>
    <row r="76" spans="1:252" s="84" customFormat="1" ht="16.5" customHeight="1">
      <c r="A76" s="79"/>
      <c r="B76" s="79"/>
      <c r="C76" s="120" t="s">
        <v>133</v>
      </c>
      <c r="D76" s="120"/>
      <c r="E76" s="98" t="s">
        <v>134</v>
      </c>
      <c r="F76" s="263">
        <f>F77+F78+F79+F80+F81</f>
        <v>9900</v>
      </c>
      <c r="G76" s="263">
        <f>G77+G78+G79+G80+G81</f>
        <v>0</v>
      </c>
      <c r="H76" s="334">
        <f>H77+H78+H79+H80+H81</f>
        <v>9900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</row>
    <row r="77" spans="1:252" s="84" customFormat="1" ht="16.5" customHeight="1">
      <c r="A77" s="141"/>
      <c r="B77" s="149"/>
      <c r="C77" s="430"/>
      <c r="D77" s="93" t="s">
        <v>112</v>
      </c>
      <c r="E77" s="119" t="s">
        <v>204</v>
      </c>
      <c r="F77" s="276">
        <v>1000</v>
      </c>
      <c r="G77" s="276"/>
      <c r="H77" s="336">
        <v>1000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</row>
    <row r="78" spans="1:252" s="84" customFormat="1" ht="16.5" customHeight="1">
      <c r="A78" s="141"/>
      <c r="B78" s="149"/>
      <c r="C78" s="431"/>
      <c r="D78" s="93" t="s">
        <v>115</v>
      </c>
      <c r="E78" s="86" t="s">
        <v>200</v>
      </c>
      <c r="F78" s="265">
        <v>300</v>
      </c>
      <c r="G78" s="265"/>
      <c r="H78" s="336">
        <v>300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</row>
    <row r="79" spans="1:252" s="84" customFormat="1" ht="16.5" customHeight="1">
      <c r="A79" s="141"/>
      <c r="B79" s="149"/>
      <c r="C79" s="431"/>
      <c r="D79" s="93" t="s">
        <v>40</v>
      </c>
      <c r="E79" s="119" t="s">
        <v>219</v>
      </c>
      <c r="F79" s="276">
        <v>2000</v>
      </c>
      <c r="G79" s="276"/>
      <c r="H79" s="335">
        <v>2000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</row>
    <row r="80" spans="1:252" s="84" customFormat="1" ht="16.5" customHeight="1">
      <c r="A80" s="157"/>
      <c r="B80" s="156"/>
      <c r="C80" s="431"/>
      <c r="D80" s="150" t="s">
        <v>52</v>
      </c>
      <c r="E80" s="119" t="s">
        <v>219</v>
      </c>
      <c r="F80" s="277">
        <v>600</v>
      </c>
      <c r="G80" s="277"/>
      <c r="H80" s="340">
        <v>600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</row>
    <row r="81" spans="1:252" s="84" customFormat="1" ht="16.5" customHeight="1">
      <c r="A81" s="95"/>
      <c r="B81" s="422"/>
      <c r="C81" s="431"/>
      <c r="D81" s="150" t="s">
        <v>58</v>
      </c>
      <c r="E81" s="151" t="s">
        <v>430</v>
      </c>
      <c r="F81" s="277">
        <v>6000</v>
      </c>
      <c r="G81" s="277"/>
      <c r="H81" s="340">
        <v>6000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</row>
    <row r="82" spans="1:252" s="84" customFormat="1" ht="16.5" customHeight="1">
      <c r="A82" s="141"/>
      <c r="B82" s="422"/>
      <c r="C82" s="142" t="s">
        <v>158</v>
      </c>
      <c r="D82" s="93"/>
      <c r="E82" s="154" t="s">
        <v>159</v>
      </c>
      <c r="F82" s="278">
        <f>F83+F84</f>
        <v>5000</v>
      </c>
      <c r="G82" s="278">
        <f>G83+G84</f>
        <v>0</v>
      </c>
      <c r="H82" s="341">
        <f>H84+H83</f>
        <v>5000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</row>
    <row r="83" spans="1:252" s="84" customFormat="1" ht="16.5" customHeight="1">
      <c r="A83" s="157"/>
      <c r="B83" s="422"/>
      <c r="C83" s="420"/>
      <c r="D83" s="93" t="s">
        <v>40</v>
      </c>
      <c r="E83" s="152" t="s">
        <v>219</v>
      </c>
      <c r="F83" s="279">
        <v>3000</v>
      </c>
      <c r="G83" s="279"/>
      <c r="H83" s="342">
        <v>3000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</row>
    <row r="84" spans="1:252" s="84" customFormat="1" ht="26.25" customHeight="1">
      <c r="A84" s="141"/>
      <c r="B84" s="423"/>
      <c r="C84" s="421"/>
      <c r="D84" s="93" t="s">
        <v>41</v>
      </c>
      <c r="E84" s="152" t="s">
        <v>219</v>
      </c>
      <c r="F84" s="280">
        <v>2000</v>
      </c>
      <c r="G84" s="280"/>
      <c r="H84" s="343">
        <v>2000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</row>
    <row r="85" spans="1:252" s="84" customFormat="1" ht="16.5" customHeight="1">
      <c r="A85" s="171"/>
      <c r="B85" s="172" t="s">
        <v>197</v>
      </c>
      <c r="C85" s="107"/>
      <c r="D85" s="153"/>
      <c r="E85" s="292" t="s">
        <v>198</v>
      </c>
      <c r="F85" s="293">
        <f>F86+F92</f>
        <v>40294.3</v>
      </c>
      <c r="G85" s="293">
        <f>G86+G92</f>
        <v>0</v>
      </c>
      <c r="H85" s="344">
        <f>H86+H92</f>
        <v>40294.3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</row>
    <row r="86" spans="1:252" s="84" customFormat="1" ht="16.5" customHeight="1">
      <c r="A86" s="108"/>
      <c r="B86" s="109"/>
      <c r="C86" s="96" t="s">
        <v>131</v>
      </c>
      <c r="D86" s="110"/>
      <c r="E86" s="98" t="s">
        <v>132</v>
      </c>
      <c r="F86" s="294">
        <f>F87+F88+F89+F90+F91</f>
        <v>29794.3</v>
      </c>
      <c r="G86" s="294">
        <f>G87+G88+G89+G90+G91</f>
        <v>0</v>
      </c>
      <c r="H86" s="334">
        <f>H87+H89+H88+H90+H91</f>
        <v>29794.3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</row>
    <row r="87" spans="1:252" s="84" customFormat="1" ht="16.5" customHeight="1">
      <c r="A87" s="79"/>
      <c r="B87" s="79"/>
      <c r="C87" s="100"/>
      <c r="D87" s="90" t="s">
        <v>20</v>
      </c>
      <c r="E87" s="91" t="s">
        <v>248</v>
      </c>
      <c r="F87" s="264">
        <v>11474.3</v>
      </c>
      <c r="G87" s="264"/>
      <c r="H87" s="336">
        <v>11474.3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</row>
    <row r="88" spans="1:252" s="84" customFormat="1" ht="16.5" customHeight="1">
      <c r="A88" s="79"/>
      <c r="B88" s="79"/>
      <c r="C88" s="100"/>
      <c r="D88" s="90" t="s">
        <v>28</v>
      </c>
      <c r="E88" s="91" t="s">
        <v>227</v>
      </c>
      <c r="F88" s="264">
        <v>6000</v>
      </c>
      <c r="G88" s="264"/>
      <c r="H88" s="336">
        <v>6000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</row>
    <row r="89" spans="1:252" s="84" customFormat="1" ht="16.5" customHeight="1">
      <c r="A89" s="79"/>
      <c r="B89" s="79"/>
      <c r="C89" s="100"/>
      <c r="D89" s="90" t="s">
        <v>38</v>
      </c>
      <c r="E89" s="91" t="s">
        <v>401</v>
      </c>
      <c r="F89" s="264">
        <v>1300</v>
      </c>
      <c r="G89" s="264"/>
      <c r="H89" s="335">
        <v>1300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</row>
    <row r="90" spans="1:252" s="84" customFormat="1" ht="16.5" customHeight="1">
      <c r="A90" s="79"/>
      <c r="B90" s="79"/>
      <c r="C90" s="100"/>
      <c r="D90" s="90" t="s">
        <v>43</v>
      </c>
      <c r="E90" s="91" t="s">
        <v>391</v>
      </c>
      <c r="F90" s="264">
        <v>2700</v>
      </c>
      <c r="G90" s="264"/>
      <c r="H90" s="335">
        <v>2700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</row>
    <row r="91" spans="1:252" s="84" customFormat="1" ht="16.5" customHeight="1">
      <c r="A91" s="231"/>
      <c r="B91" s="234"/>
      <c r="C91" s="240"/>
      <c r="D91" s="242" t="s">
        <v>49</v>
      </c>
      <c r="E91" s="91" t="s">
        <v>391</v>
      </c>
      <c r="F91" s="264">
        <v>8320</v>
      </c>
      <c r="G91" s="264"/>
      <c r="H91" s="335">
        <v>8320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</row>
    <row r="92" spans="1:252" s="84" customFormat="1" ht="16.5" customHeight="1">
      <c r="A92" s="108"/>
      <c r="B92" s="109"/>
      <c r="C92" s="96" t="s">
        <v>133</v>
      </c>
      <c r="D92" s="110"/>
      <c r="E92" s="98" t="s">
        <v>134</v>
      </c>
      <c r="F92" s="263">
        <f>F93+F94</f>
        <v>10500</v>
      </c>
      <c r="G92" s="263">
        <f>G93+G94</f>
        <v>0</v>
      </c>
      <c r="H92" s="334">
        <f>H93+H94</f>
        <v>10500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</row>
    <row r="93" spans="1:252" s="84" customFormat="1" ht="16.5" customHeight="1">
      <c r="A93" s="79"/>
      <c r="B93" s="79"/>
      <c r="C93" s="100"/>
      <c r="D93" s="90" t="s">
        <v>55</v>
      </c>
      <c r="E93" s="91" t="s">
        <v>402</v>
      </c>
      <c r="F93" s="264">
        <v>5000</v>
      </c>
      <c r="G93" s="264"/>
      <c r="H93" s="335">
        <v>5000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</row>
    <row r="94" spans="1:252" s="84" customFormat="1" ht="16.5" customHeight="1">
      <c r="A94" s="79"/>
      <c r="B94" s="231"/>
      <c r="C94" s="240"/>
      <c r="D94" s="242" t="s">
        <v>23</v>
      </c>
      <c r="E94" s="241" t="s">
        <v>386</v>
      </c>
      <c r="F94" s="281">
        <v>5500</v>
      </c>
      <c r="G94" s="281"/>
      <c r="H94" s="335">
        <v>5500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</row>
    <row r="95" spans="1:252" s="118" customFormat="1" ht="16.5" customHeight="1">
      <c r="A95" s="111" t="s">
        <v>148</v>
      </c>
      <c r="B95" s="111"/>
      <c r="C95" s="111"/>
      <c r="D95" s="111"/>
      <c r="E95" s="105" t="s">
        <v>149</v>
      </c>
      <c r="F95" s="268">
        <f>F96+F134+F137</f>
        <v>203988.4</v>
      </c>
      <c r="G95" s="268">
        <f>G96+G134+G137</f>
        <v>0</v>
      </c>
      <c r="H95" s="317">
        <f>H96+H134+H137</f>
        <v>203988.4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</row>
    <row r="96" spans="1:252" s="118" customFormat="1" ht="16.5" customHeight="1">
      <c r="A96" s="250"/>
      <c r="B96" s="104" t="s">
        <v>150</v>
      </c>
      <c r="C96" s="101"/>
      <c r="D96" s="101"/>
      <c r="E96" s="102" t="s">
        <v>151</v>
      </c>
      <c r="F96" s="262">
        <f>F97+F103+F118+F120+F122+F128+F130+F132</f>
        <v>109991.97</v>
      </c>
      <c r="G96" s="262">
        <f>G97+G103+G118+G120+G122+G128+G130+G132</f>
        <v>0</v>
      </c>
      <c r="H96" s="333">
        <f>H97+H103+H118+H120+H122+H128+H130+H132</f>
        <v>109991.97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  <c r="GQ96" s="117"/>
      <c r="GR96" s="117"/>
      <c r="GS96" s="117"/>
      <c r="GT96" s="117"/>
      <c r="GU96" s="117"/>
      <c r="GV96" s="117"/>
      <c r="GW96" s="117"/>
      <c r="GX96" s="117"/>
      <c r="GY96" s="117"/>
      <c r="GZ96" s="117"/>
      <c r="HA96" s="117"/>
      <c r="HB96" s="117"/>
      <c r="HC96" s="117"/>
      <c r="HD96" s="117"/>
      <c r="HE96" s="117"/>
      <c r="HF96" s="117"/>
      <c r="HG96" s="117"/>
      <c r="HH96" s="117"/>
      <c r="HI96" s="117"/>
      <c r="HJ96" s="117"/>
      <c r="HK96" s="117"/>
      <c r="HL96" s="117"/>
      <c r="HM96" s="117"/>
      <c r="HN96" s="117"/>
      <c r="HO96" s="117"/>
      <c r="HP96" s="117"/>
      <c r="HQ96" s="117"/>
      <c r="HR96" s="117"/>
      <c r="HS96" s="117"/>
      <c r="HT96" s="117"/>
      <c r="HU96" s="117"/>
      <c r="HV96" s="117"/>
      <c r="HW96" s="117"/>
      <c r="HX96" s="117"/>
      <c r="HY96" s="117"/>
      <c r="HZ96" s="117"/>
      <c r="IA96" s="117"/>
      <c r="IB96" s="117"/>
      <c r="IC96" s="117"/>
      <c r="ID96" s="117"/>
      <c r="IE96" s="117"/>
      <c r="IF96" s="117"/>
      <c r="IG96" s="117"/>
      <c r="IH96" s="117"/>
      <c r="II96" s="117"/>
      <c r="IJ96" s="117"/>
      <c r="IK96" s="117"/>
      <c r="IL96" s="117"/>
      <c r="IM96" s="117"/>
      <c r="IN96" s="117"/>
      <c r="IO96" s="117"/>
      <c r="IP96" s="117"/>
      <c r="IQ96" s="117"/>
      <c r="IR96" s="117"/>
    </row>
    <row r="97" spans="1:252" s="84" customFormat="1" ht="16.5" customHeight="1">
      <c r="A97" s="79"/>
      <c r="B97" s="79"/>
      <c r="C97" s="97" t="s">
        <v>158</v>
      </c>
      <c r="D97" s="97"/>
      <c r="E97" s="121" t="s">
        <v>159</v>
      </c>
      <c r="F97" s="282">
        <f>F98+F99+F100+F101+F102</f>
        <v>19700</v>
      </c>
      <c r="G97" s="282">
        <f>G98+G99+G100+G101+G102</f>
        <v>0</v>
      </c>
      <c r="H97" s="334">
        <f>SUM(H98:H102)</f>
        <v>19700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</row>
    <row r="98" spans="1:252" s="84" customFormat="1" ht="16.5" customHeight="1">
      <c r="A98" s="79"/>
      <c r="B98" s="79"/>
      <c r="C98" s="158"/>
      <c r="D98" s="85" t="s">
        <v>115</v>
      </c>
      <c r="E98" s="243" t="s">
        <v>404</v>
      </c>
      <c r="F98" s="283">
        <v>2500</v>
      </c>
      <c r="G98" s="283"/>
      <c r="H98" s="335">
        <v>2500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</row>
    <row r="99" spans="1:252" s="84" customFormat="1" ht="16.5" customHeight="1">
      <c r="A99" s="79"/>
      <c r="B99" s="79"/>
      <c r="C99" s="82"/>
      <c r="D99" s="85" t="s">
        <v>170</v>
      </c>
      <c r="E99" s="86" t="s">
        <v>403</v>
      </c>
      <c r="F99" s="265">
        <v>6000</v>
      </c>
      <c r="G99" s="265"/>
      <c r="H99" s="336">
        <v>6000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</row>
    <row r="100" spans="1:252" s="84" customFormat="1" ht="16.5" customHeight="1">
      <c r="A100" s="79"/>
      <c r="B100" s="79"/>
      <c r="C100" s="82"/>
      <c r="D100" s="85" t="s">
        <v>49</v>
      </c>
      <c r="E100" s="86" t="s">
        <v>405</v>
      </c>
      <c r="F100" s="265">
        <v>2000</v>
      </c>
      <c r="G100" s="265"/>
      <c r="H100" s="335">
        <v>2000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</row>
    <row r="101" spans="1:252" s="84" customFormat="1" ht="22.5" customHeight="1">
      <c r="A101" s="79"/>
      <c r="B101" s="79"/>
      <c r="C101" s="82"/>
      <c r="D101" s="85" t="s">
        <v>52</v>
      </c>
      <c r="E101" s="86" t="s">
        <v>406</v>
      </c>
      <c r="F101" s="265">
        <v>1700</v>
      </c>
      <c r="G101" s="265"/>
      <c r="H101" s="335">
        <v>1700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</row>
    <row r="102" spans="1:252" s="84" customFormat="1" ht="22.5" customHeight="1">
      <c r="A102" s="79"/>
      <c r="B102" s="79"/>
      <c r="C102" s="80"/>
      <c r="D102" s="85" t="s">
        <v>55</v>
      </c>
      <c r="E102" s="86" t="s">
        <v>431</v>
      </c>
      <c r="F102" s="265">
        <v>7500</v>
      </c>
      <c r="G102" s="265"/>
      <c r="H102" s="335">
        <v>7500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</row>
    <row r="103" spans="1:252" s="84" customFormat="1" ht="16.5" customHeight="1">
      <c r="A103" s="79"/>
      <c r="B103" s="79"/>
      <c r="C103" s="97" t="s">
        <v>131</v>
      </c>
      <c r="D103" s="97"/>
      <c r="E103" s="98" t="s">
        <v>132</v>
      </c>
      <c r="F103" s="263">
        <f>F104+F105+F106+F107+F108+F109+F110+F111+F112+F113+F114+F115+F116+F117</f>
        <v>66751.29</v>
      </c>
      <c r="G103" s="263">
        <f>G104+G105+G106+G107+G108+G109+G110+G111+G112+G113+G114+G115+G116+G117</f>
        <v>0</v>
      </c>
      <c r="H103" s="334">
        <f>H104+H105+H106+H107+H108+H109+H110+H111+H112+H113+H114+H115+H116+H117</f>
        <v>66751.29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</row>
    <row r="104" spans="1:252" s="84" customFormat="1" ht="16.5" customHeight="1">
      <c r="A104" s="79"/>
      <c r="B104" s="79"/>
      <c r="C104" s="82"/>
      <c r="D104" s="90" t="s">
        <v>112</v>
      </c>
      <c r="E104" s="91" t="s">
        <v>264</v>
      </c>
      <c r="F104" s="264">
        <v>9060.8</v>
      </c>
      <c r="G104" s="264"/>
      <c r="H104" s="336">
        <v>9060.8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</row>
    <row r="105" spans="1:252" s="84" customFormat="1" ht="16.5" customHeight="1">
      <c r="A105" s="79"/>
      <c r="B105" s="79"/>
      <c r="C105" s="82"/>
      <c r="D105" s="90" t="s">
        <v>11</v>
      </c>
      <c r="E105" s="91" t="s">
        <v>220</v>
      </c>
      <c r="F105" s="264">
        <v>1000</v>
      </c>
      <c r="G105" s="264"/>
      <c r="H105" s="336">
        <v>1000</v>
      </c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</row>
    <row r="106" spans="1:252" s="84" customFormat="1" ht="63.75" customHeight="1">
      <c r="A106" s="79"/>
      <c r="B106" s="79"/>
      <c r="C106" s="80"/>
      <c r="D106" s="90" t="s">
        <v>14</v>
      </c>
      <c r="E106" s="91" t="s">
        <v>407</v>
      </c>
      <c r="F106" s="264">
        <v>4000</v>
      </c>
      <c r="G106" s="264"/>
      <c r="H106" s="336">
        <v>4000</v>
      </c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</row>
    <row r="107" spans="1:252" s="84" customFormat="1" ht="18.75" customHeight="1">
      <c r="A107" s="79"/>
      <c r="B107" s="79"/>
      <c r="C107" s="80"/>
      <c r="D107" s="90" t="s">
        <v>20</v>
      </c>
      <c r="E107" s="91" t="s">
        <v>409</v>
      </c>
      <c r="F107" s="264">
        <v>4000</v>
      </c>
      <c r="G107" s="264"/>
      <c r="H107" s="335">
        <v>4000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</row>
    <row r="108" spans="1:252" s="84" customFormat="1" ht="27" customHeight="1">
      <c r="A108" s="79"/>
      <c r="B108" s="79"/>
      <c r="C108" s="80"/>
      <c r="D108" s="90" t="s">
        <v>23</v>
      </c>
      <c r="E108" s="91" t="s">
        <v>408</v>
      </c>
      <c r="F108" s="264">
        <v>1000</v>
      </c>
      <c r="G108" s="264"/>
      <c r="H108" s="336">
        <v>1000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</row>
    <row r="109" spans="1:252" s="84" customFormat="1" ht="18.75" customHeight="1">
      <c r="A109" s="79"/>
      <c r="B109" s="79"/>
      <c r="C109" s="80"/>
      <c r="D109" s="85" t="s">
        <v>28</v>
      </c>
      <c r="E109" s="86" t="s">
        <v>375</v>
      </c>
      <c r="F109" s="265">
        <v>2000</v>
      </c>
      <c r="G109" s="265"/>
      <c r="H109" s="336">
        <v>2000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</row>
    <row r="110" spans="1:252" s="84" customFormat="1" ht="16.5" customHeight="1">
      <c r="A110" s="79"/>
      <c r="B110" s="79"/>
      <c r="C110" s="80"/>
      <c r="D110" s="90" t="s">
        <v>114</v>
      </c>
      <c r="E110" s="91" t="s">
        <v>206</v>
      </c>
      <c r="F110" s="264">
        <v>12088.71</v>
      </c>
      <c r="G110" s="264"/>
      <c r="H110" s="335">
        <v>12088.71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</row>
    <row r="111" spans="1:252" s="84" customFormat="1" ht="12.75">
      <c r="A111" s="79"/>
      <c r="B111" s="79"/>
      <c r="C111" s="80"/>
      <c r="D111" s="85" t="s">
        <v>115</v>
      </c>
      <c r="E111" s="86" t="s">
        <v>265</v>
      </c>
      <c r="F111" s="265">
        <v>2900</v>
      </c>
      <c r="G111" s="265"/>
      <c r="H111" s="336">
        <v>2900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</row>
    <row r="112" spans="1:252" s="84" customFormat="1" ht="12.75">
      <c r="A112" s="79"/>
      <c r="B112" s="79"/>
      <c r="C112" s="80"/>
      <c r="D112" s="85" t="s">
        <v>34</v>
      </c>
      <c r="E112" s="86" t="s">
        <v>432</v>
      </c>
      <c r="F112" s="265">
        <v>1802.61</v>
      </c>
      <c r="G112" s="265"/>
      <c r="H112" s="336">
        <v>1802.61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</row>
    <row r="113" spans="1:252" s="84" customFormat="1" ht="12.75">
      <c r="A113" s="79"/>
      <c r="B113" s="79"/>
      <c r="C113" s="80"/>
      <c r="D113" s="85" t="s">
        <v>38</v>
      </c>
      <c r="E113" s="86" t="s">
        <v>388</v>
      </c>
      <c r="F113" s="265">
        <v>2000</v>
      </c>
      <c r="G113" s="265"/>
      <c r="H113" s="335">
        <v>2000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</row>
    <row r="114" spans="1:252" s="84" customFormat="1" ht="12.75">
      <c r="A114" s="79"/>
      <c r="B114" s="79"/>
      <c r="C114" s="80"/>
      <c r="D114" s="85" t="s">
        <v>52</v>
      </c>
      <c r="E114" s="86" t="s">
        <v>380</v>
      </c>
      <c r="F114" s="265">
        <v>7449.98</v>
      </c>
      <c r="G114" s="265"/>
      <c r="H114" s="335">
        <v>7449.98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</row>
    <row r="115" spans="1:252" s="84" customFormat="1" ht="36" customHeight="1">
      <c r="A115" s="79"/>
      <c r="B115" s="79"/>
      <c r="C115" s="80"/>
      <c r="D115" s="85" t="s">
        <v>55</v>
      </c>
      <c r="E115" s="244" t="s">
        <v>410</v>
      </c>
      <c r="F115" s="284">
        <v>6000</v>
      </c>
      <c r="G115" s="284"/>
      <c r="H115" s="335">
        <v>6000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</row>
    <row r="116" spans="1:252" s="84" customFormat="1" ht="22.5" customHeight="1">
      <c r="A116" s="79"/>
      <c r="B116" s="79"/>
      <c r="C116" s="80"/>
      <c r="D116" s="85" t="s">
        <v>35</v>
      </c>
      <c r="E116" s="229" t="s">
        <v>411</v>
      </c>
      <c r="F116" s="284">
        <v>8449.19</v>
      </c>
      <c r="G116" s="284"/>
      <c r="H116" s="335">
        <v>8449.19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</row>
    <row r="117" spans="1:252" s="84" customFormat="1" ht="12.75">
      <c r="A117" s="79"/>
      <c r="B117" s="79"/>
      <c r="C117" s="80"/>
      <c r="D117" s="85" t="s">
        <v>58</v>
      </c>
      <c r="E117" s="86" t="s">
        <v>363</v>
      </c>
      <c r="F117" s="265">
        <v>5000</v>
      </c>
      <c r="G117" s="265"/>
      <c r="H117" s="335">
        <v>5000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</row>
    <row r="118" spans="1:252" s="84" customFormat="1" ht="16.5" customHeight="1">
      <c r="A118" s="79"/>
      <c r="B118" s="79"/>
      <c r="C118" s="97" t="s">
        <v>365</v>
      </c>
      <c r="D118" s="97"/>
      <c r="E118" s="98" t="s">
        <v>366</v>
      </c>
      <c r="F118" s="263">
        <f>F119</f>
        <v>1500</v>
      </c>
      <c r="G118" s="263">
        <f>G119</f>
        <v>0</v>
      </c>
      <c r="H118" s="334">
        <f>H119</f>
        <v>1500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</row>
    <row r="119" spans="1:252" s="84" customFormat="1" ht="30" customHeight="1">
      <c r="A119" s="79"/>
      <c r="B119" s="79"/>
      <c r="C119" s="82"/>
      <c r="D119" s="90" t="s">
        <v>34</v>
      </c>
      <c r="E119" s="91" t="s">
        <v>412</v>
      </c>
      <c r="F119" s="264">
        <v>1500</v>
      </c>
      <c r="G119" s="264"/>
      <c r="H119" s="336">
        <v>1500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</row>
    <row r="120" spans="1:252" s="84" customFormat="1" ht="16.5" customHeight="1">
      <c r="A120" s="79"/>
      <c r="B120" s="79"/>
      <c r="C120" s="97" t="s">
        <v>152</v>
      </c>
      <c r="D120" s="97"/>
      <c r="E120" s="98" t="s">
        <v>153</v>
      </c>
      <c r="F120" s="263">
        <f>F121</f>
        <v>1000</v>
      </c>
      <c r="G120" s="263">
        <f>G121</f>
        <v>0</v>
      </c>
      <c r="H120" s="345">
        <f>SUM(H121:H121)</f>
        <v>1000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</row>
    <row r="121" spans="1:252" s="84" customFormat="1" ht="16.5" customHeight="1">
      <c r="A121" s="79"/>
      <c r="B121" s="79"/>
      <c r="C121" s="249"/>
      <c r="D121" s="90" t="s">
        <v>23</v>
      </c>
      <c r="E121" s="91" t="s">
        <v>167</v>
      </c>
      <c r="F121" s="264">
        <v>1000</v>
      </c>
      <c r="G121" s="264"/>
      <c r="H121" s="336">
        <v>1000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</row>
    <row r="122" spans="1:252" s="84" customFormat="1" ht="16.5" customHeight="1">
      <c r="A122" s="79"/>
      <c r="B122" s="79"/>
      <c r="C122" s="97" t="s">
        <v>133</v>
      </c>
      <c r="D122" s="97"/>
      <c r="E122" s="98" t="s">
        <v>134</v>
      </c>
      <c r="F122" s="263">
        <f>F123+F124+F125+F126+F127</f>
        <v>4413.91</v>
      </c>
      <c r="G122" s="263">
        <f>G123+G124+G125+G126+G127</f>
        <v>0</v>
      </c>
      <c r="H122" s="334">
        <f>SUM(H123:H127)</f>
        <v>4413.91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</row>
    <row r="123" spans="1:252" s="84" customFormat="1" ht="12.75">
      <c r="A123" s="79"/>
      <c r="B123" s="79"/>
      <c r="C123" s="80"/>
      <c r="D123" s="90" t="s">
        <v>14</v>
      </c>
      <c r="E123" s="91" t="s">
        <v>415</v>
      </c>
      <c r="F123" s="264">
        <v>1000</v>
      </c>
      <c r="G123" s="264"/>
      <c r="H123" s="336">
        <v>1000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</row>
    <row r="124" spans="1:252" s="84" customFormat="1" ht="22.5">
      <c r="A124" s="79"/>
      <c r="B124" s="79"/>
      <c r="C124" s="80"/>
      <c r="D124" s="90" t="s">
        <v>20</v>
      </c>
      <c r="E124" s="91" t="s">
        <v>373</v>
      </c>
      <c r="F124" s="264">
        <v>700</v>
      </c>
      <c r="G124" s="264"/>
      <c r="H124" s="336">
        <v>700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</row>
    <row r="125" spans="1:252" s="84" customFormat="1" ht="16.5" customHeight="1">
      <c r="A125" s="79"/>
      <c r="B125" s="79"/>
      <c r="C125" s="80"/>
      <c r="D125" s="85" t="s">
        <v>38</v>
      </c>
      <c r="E125" s="86" t="s">
        <v>388</v>
      </c>
      <c r="F125" s="265">
        <v>1000</v>
      </c>
      <c r="G125" s="265"/>
      <c r="H125" s="335">
        <v>1000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</row>
    <row r="126" spans="1:252" s="84" customFormat="1" ht="22.5" customHeight="1">
      <c r="A126" s="79"/>
      <c r="B126" s="79"/>
      <c r="C126" s="80"/>
      <c r="D126" s="85" t="s">
        <v>55</v>
      </c>
      <c r="E126" s="86" t="s">
        <v>414</v>
      </c>
      <c r="F126" s="265">
        <v>1513.91</v>
      </c>
      <c r="G126" s="265"/>
      <c r="H126" s="335">
        <v>1513.91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</row>
    <row r="127" spans="1:252" s="84" customFormat="1" ht="16.5" customHeight="1">
      <c r="A127" s="79"/>
      <c r="B127" s="79"/>
      <c r="C127" s="80"/>
      <c r="D127" s="85" t="s">
        <v>58</v>
      </c>
      <c r="E127" s="86" t="s">
        <v>379</v>
      </c>
      <c r="F127" s="265">
        <v>200</v>
      </c>
      <c r="G127" s="265"/>
      <c r="H127" s="335">
        <v>200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</row>
    <row r="128" spans="1:252" s="84" customFormat="1" ht="16.5" customHeight="1">
      <c r="A128" s="79"/>
      <c r="B128" s="79"/>
      <c r="C128" s="97" t="s">
        <v>196</v>
      </c>
      <c r="D128" s="97"/>
      <c r="E128" s="98" t="s">
        <v>417</v>
      </c>
      <c r="F128" s="263">
        <f>F129</f>
        <v>1040</v>
      </c>
      <c r="G128" s="263">
        <f>G129</f>
        <v>0</v>
      </c>
      <c r="H128" s="334">
        <f>H129</f>
        <v>1040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</row>
    <row r="129" spans="1:252" s="84" customFormat="1" ht="12.75">
      <c r="A129" s="79"/>
      <c r="B129" s="79"/>
      <c r="C129" s="80"/>
      <c r="D129" s="90" t="s">
        <v>34</v>
      </c>
      <c r="E129" s="91" t="s">
        <v>416</v>
      </c>
      <c r="F129" s="264">
        <v>1040</v>
      </c>
      <c r="G129" s="264"/>
      <c r="H129" s="336">
        <v>1040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</row>
    <row r="130" spans="1:252" s="84" customFormat="1" ht="16.5" customHeight="1">
      <c r="A130" s="79"/>
      <c r="B130" s="79"/>
      <c r="C130" s="97" t="s">
        <v>255</v>
      </c>
      <c r="D130" s="97"/>
      <c r="E130" s="98" t="s">
        <v>369</v>
      </c>
      <c r="F130" s="263">
        <f>F131</f>
        <v>5995.85</v>
      </c>
      <c r="G130" s="263">
        <f>G131</f>
        <v>0</v>
      </c>
      <c r="H130" s="345">
        <f>H131</f>
        <v>5995.85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</row>
    <row r="131" spans="1:252" s="84" customFormat="1" ht="30" customHeight="1">
      <c r="A131" s="79"/>
      <c r="B131" s="79"/>
      <c r="C131" s="85"/>
      <c r="D131" s="90" t="s">
        <v>41</v>
      </c>
      <c r="E131" s="91" t="s">
        <v>413</v>
      </c>
      <c r="F131" s="264">
        <v>5995.85</v>
      </c>
      <c r="G131" s="264"/>
      <c r="H131" s="336">
        <v>5995.85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</row>
    <row r="132" spans="1:252" s="84" customFormat="1" ht="16.5" customHeight="1">
      <c r="A132" s="79"/>
      <c r="B132" s="79"/>
      <c r="C132" s="97" t="s">
        <v>212</v>
      </c>
      <c r="D132" s="97"/>
      <c r="E132" s="98" t="s">
        <v>232</v>
      </c>
      <c r="F132" s="263">
        <f>F133</f>
        <v>9590.92</v>
      </c>
      <c r="G132" s="263">
        <f>G133</f>
        <v>0</v>
      </c>
      <c r="H132" s="345">
        <f>H133</f>
        <v>9590.92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</row>
    <row r="133" spans="1:252" s="84" customFormat="1" ht="16.5" customHeight="1">
      <c r="A133" s="79"/>
      <c r="B133" s="79"/>
      <c r="C133" s="81"/>
      <c r="D133" s="90" t="s">
        <v>28</v>
      </c>
      <c r="E133" s="91" t="s">
        <v>376</v>
      </c>
      <c r="F133" s="264">
        <v>9590.92</v>
      </c>
      <c r="G133" s="264"/>
      <c r="H133" s="336">
        <v>9590.92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</row>
    <row r="134" spans="1:252" s="84" customFormat="1" ht="16.5" customHeight="1">
      <c r="A134" s="78"/>
      <c r="B134" s="104" t="s">
        <v>154</v>
      </c>
      <c r="C134" s="101"/>
      <c r="D134" s="101"/>
      <c r="E134" s="102" t="s">
        <v>155</v>
      </c>
      <c r="F134" s="262">
        <f aca="true" t="shared" si="1" ref="F134:H135">F135</f>
        <v>1000</v>
      </c>
      <c r="G134" s="262">
        <f t="shared" si="1"/>
        <v>0</v>
      </c>
      <c r="H134" s="346">
        <f t="shared" si="1"/>
        <v>1000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</row>
    <row r="135" spans="1:252" s="84" customFormat="1" ht="16.5" customHeight="1">
      <c r="A135" s="79"/>
      <c r="B135" s="79"/>
      <c r="C135" s="97" t="s">
        <v>131</v>
      </c>
      <c r="D135" s="97"/>
      <c r="E135" s="98" t="s">
        <v>132</v>
      </c>
      <c r="F135" s="263">
        <f t="shared" si="1"/>
        <v>1000</v>
      </c>
      <c r="G135" s="263">
        <f t="shared" si="1"/>
        <v>0</v>
      </c>
      <c r="H135" s="345">
        <f t="shared" si="1"/>
        <v>1000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</row>
    <row r="136" spans="1:252" s="84" customFormat="1" ht="16.5" customHeight="1">
      <c r="A136" s="79"/>
      <c r="B136" s="79"/>
      <c r="C136" s="103"/>
      <c r="D136" s="85" t="s">
        <v>40</v>
      </c>
      <c r="E136" s="86" t="s">
        <v>156</v>
      </c>
      <c r="F136" s="265">
        <v>1000</v>
      </c>
      <c r="G136" s="265"/>
      <c r="H136" s="335">
        <v>1000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</row>
    <row r="137" spans="1:252" s="84" customFormat="1" ht="16.5" customHeight="1">
      <c r="A137" s="78"/>
      <c r="B137" s="104" t="s">
        <v>157</v>
      </c>
      <c r="C137" s="101"/>
      <c r="D137" s="101"/>
      <c r="E137" s="102" t="s">
        <v>136</v>
      </c>
      <c r="F137" s="262">
        <f>F138+F142+F160+F176</f>
        <v>92996.43</v>
      </c>
      <c r="G137" s="262">
        <f>G138+G142+G160+G176</f>
        <v>0</v>
      </c>
      <c r="H137" s="333">
        <f>H142+H176+H138+H160</f>
        <v>92996.43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</row>
    <row r="138" spans="1:252" s="84" customFormat="1" ht="16.5" customHeight="1">
      <c r="A138" s="79"/>
      <c r="B138" s="108"/>
      <c r="C138" s="97" t="s">
        <v>158</v>
      </c>
      <c r="D138" s="97"/>
      <c r="E138" s="98" t="s">
        <v>159</v>
      </c>
      <c r="F138" s="263">
        <f>F139+F140+F141</f>
        <v>5000</v>
      </c>
      <c r="G138" s="263">
        <f>G139+G140+G141</f>
        <v>0</v>
      </c>
      <c r="H138" s="334">
        <f>SUM(H139:H141)</f>
        <v>5000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</row>
    <row r="139" spans="1:252" s="84" customFormat="1" ht="28.5" customHeight="1">
      <c r="A139" s="79"/>
      <c r="B139" s="79"/>
      <c r="C139" s="80"/>
      <c r="D139" s="90" t="s">
        <v>14</v>
      </c>
      <c r="E139" s="91" t="s">
        <v>357</v>
      </c>
      <c r="F139" s="264">
        <v>1500</v>
      </c>
      <c r="G139" s="264"/>
      <c r="H139" s="336">
        <v>1500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</row>
    <row r="140" spans="1:252" s="84" customFormat="1" ht="21" customHeight="1">
      <c r="A140" s="79"/>
      <c r="B140" s="79"/>
      <c r="C140" s="80"/>
      <c r="D140" s="90" t="s">
        <v>40</v>
      </c>
      <c r="E140" s="91" t="s">
        <v>270</v>
      </c>
      <c r="F140" s="264">
        <v>1500</v>
      </c>
      <c r="G140" s="264"/>
      <c r="H140" s="335">
        <v>1500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</row>
    <row r="141" spans="1:252" s="84" customFormat="1" ht="21" customHeight="1">
      <c r="A141" s="79"/>
      <c r="B141" s="79"/>
      <c r="C141" s="80"/>
      <c r="D141" s="90" t="s">
        <v>41</v>
      </c>
      <c r="E141" s="91" t="s">
        <v>393</v>
      </c>
      <c r="F141" s="264">
        <v>2000</v>
      </c>
      <c r="G141" s="264"/>
      <c r="H141" s="335">
        <v>2000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</row>
    <row r="142" spans="1:252" s="84" customFormat="1" ht="21" customHeight="1">
      <c r="A142" s="79"/>
      <c r="B142" s="79"/>
      <c r="C142" s="97" t="s">
        <v>131</v>
      </c>
      <c r="D142" s="97"/>
      <c r="E142" s="98" t="s">
        <v>132</v>
      </c>
      <c r="F142" s="263">
        <f>F143+F144+F145+F146+F147+F148+F149+F150+F151+F152+F153+F154+F155+F156+F157+F158+F159</f>
        <v>18116.21</v>
      </c>
      <c r="G142" s="263">
        <f>G143+G144+G145+G146+G147+G148+G149+G150+G151+G152+G153+G154+G155+G156+G157+G158+G159</f>
        <v>0</v>
      </c>
      <c r="H142" s="334">
        <f>SUM(H143:H159)</f>
        <v>18116.21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</row>
    <row r="143" spans="1:252" s="84" customFormat="1" ht="22.5" customHeight="1">
      <c r="A143" s="79"/>
      <c r="B143" s="79"/>
      <c r="C143" s="80"/>
      <c r="D143" s="90" t="s">
        <v>112</v>
      </c>
      <c r="E143" s="91" t="s">
        <v>367</v>
      </c>
      <c r="F143" s="264">
        <v>1000</v>
      </c>
      <c r="G143" s="264"/>
      <c r="H143" s="336">
        <v>1000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</row>
    <row r="144" spans="1:252" s="84" customFormat="1" ht="25.5" customHeight="1">
      <c r="A144" s="79"/>
      <c r="B144" s="79"/>
      <c r="C144" s="80"/>
      <c r="D144" s="85" t="s">
        <v>113</v>
      </c>
      <c r="E144" s="86" t="s">
        <v>433</v>
      </c>
      <c r="F144" s="265">
        <v>1000</v>
      </c>
      <c r="G144" s="265"/>
      <c r="H144" s="336">
        <v>1000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</row>
    <row r="145" spans="1:252" s="84" customFormat="1" ht="16.5" customHeight="1">
      <c r="A145" s="79"/>
      <c r="B145" s="79"/>
      <c r="C145" s="80"/>
      <c r="D145" s="90" t="s">
        <v>11</v>
      </c>
      <c r="E145" s="91" t="s">
        <v>166</v>
      </c>
      <c r="F145" s="264">
        <v>500</v>
      </c>
      <c r="G145" s="264"/>
      <c r="H145" s="336">
        <v>500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</row>
    <row r="146" spans="1:252" s="84" customFormat="1" ht="54" customHeight="1">
      <c r="A146" s="79"/>
      <c r="B146" s="79"/>
      <c r="C146" s="80"/>
      <c r="D146" s="90" t="s">
        <v>14</v>
      </c>
      <c r="E146" s="86" t="s">
        <v>420</v>
      </c>
      <c r="F146" s="265">
        <v>4996.27</v>
      </c>
      <c r="G146" s="265"/>
      <c r="H146" s="336">
        <v>4996.27</v>
      </c>
      <c r="I146" s="22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</row>
    <row r="147" spans="1:252" s="84" customFormat="1" ht="13.5" customHeight="1">
      <c r="A147" s="79"/>
      <c r="B147" s="79"/>
      <c r="C147" s="80"/>
      <c r="D147" s="90" t="s">
        <v>20</v>
      </c>
      <c r="E147" s="91" t="s">
        <v>374</v>
      </c>
      <c r="F147" s="264">
        <v>1000</v>
      </c>
      <c r="G147" s="264"/>
      <c r="H147" s="335">
        <v>1000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</row>
    <row r="148" spans="1:252" s="84" customFormat="1" ht="16.5" customHeight="1">
      <c r="A148" s="79"/>
      <c r="B148" s="79"/>
      <c r="C148" s="80"/>
      <c r="D148" s="90" t="s">
        <v>23</v>
      </c>
      <c r="E148" s="91" t="s">
        <v>160</v>
      </c>
      <c r="F148" s="264">
        <v>943.62</v>
      </c>
      <c r="G148" s="264"/>
      <c r="H148" s="336">
        <v>943.62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</row>
    <row r="149" spans="1:252" s="84" customFormat="1" ht="16.5" customHeight="1">
      <c r="A149" s="79"/>
      <c r="B149" s="79"/>
      <c r="C149" s="80"/>
      <c r="D149" s="85" t="s">
        <v>28</v>
      </c>
      <c r="E149" s="86" t="s">
        <v>160</v>
      </c>
      <c r="F149" s="265">
        <v>1000</v>
      </c>
      <c r="G149" s="265"/>
      <c r="H149" s="336">
        <v>1000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</row>
    <row r="150" spans="1:252" s="84" customFormat="1" ht="12.75">
      <c r="A150" s="79"/>
      <c r="B150" s="79"/>
      <c r="C150" s="80"/>
      <c r="D150" s="90" t="s">
        <v>115</v>
      </c>
      <c r="E150" s="91" t="s">
        <v>251</v>
      </c>
      <c r="F150" s="264">
        <v>1576.32</v>
      </c>
      <c r="G150" s="264"/>
      <c r="H150" s="335">
        <v>1576.32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</row>
    <row r="151" spans="1:252" s="84" customFormat="1" ht="22.5">
      <c r="A151" s="79"/>
      <c r="B151" s="79"/>
      <c r="C151" s="80"/>
      <c r="D151" s="90" t="s">
        <v>34</v>
      </c>
      <c r="E151" s="91" t="s">
        <v>360</v>
      </c>
      <c r="F151" s="264">
        <v>1000</v>
      </c>
      <c r="G151" s="264"/>
      <c r="H151" s="336">
        <v>1000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</row>
    <row r="152" spans="1:252" s="84" customFormat="1" ht="12.75">
      <c r="A152" s="79"/>
      <c r="B152" s="79"/>
      <c r="C152" s="80"/>
      <c r="D152" s="90" t="s">
        <v>38</v>
      </c>
      <c r="E152" s="91" t="s">
        <v>378</v>
      </c>
      <c r="F152" s="264">
        <v>200</v>
      </c>
      <c r="G152" s="264"/>
      <c r="H152" s="335">
        <v>200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</row>
    <row r="153" spans="1:252" s="84" customFormat="1" ht="12.75">
      <c r="A153" s="79"/>
      <c r="B153" s="79"/>
      <c r="C153" s="80"/>
      <c r="D153" s="85" t="s">
        <v>40</v>
      </c>
      <c r="E153" s="86" t="s">
        <v>270</v>
      </c>
      <c r="F153" s="265">
        <v>1000</v>
      </c>
      <c r="G153" s="265"/>
      <c r="H153" s="335">
        <v>1000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</row>
    <row r="154" spans="1:252" s="84" customFormat="1" ht="12.75">
      <c r="A154" s="79"/>
      <c r="B154" s="79"/>
      <c r="C154" s="80"/>
      <c r="D154" s="85" t="s">
        <v>43</v>
      </c>
      <c r="E154" s="86" t="s">
        <v>382</v>
      </c>
      <c r="F154" s="265">
        <v>700</v>
      </c>
      <c r="G154" s="265"/>
      <c r="H154" s="335">
        <v>700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</row>
    <row r="155" spans="1:252" s="84" customFormat="1" ht="19.5" customHeight="1">
      <c r="A155" s="79"/>
      <c r="B155" s="79"/>
      <c r="C155" s="80"/>
      <c r="D155" s="85" t="s">
        <v>49</v>
      </c>
      <c r="E155" s="86" t="s">
        <v>233</v>
      </c>
      <c r="F155" s="265">
        <v>300</v>
      </c>
      <c r="G155" s="265"/>
      <c r="H155" s="335">
        <v>300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</row>
    <row r="156" spans="1:252" s="84" customFormat="1" ht="22.5" customHeight="1">
      <c r="A156" s="79"/>
      <c r="B156" s="79"/>
      <c r="C156" s="80"/>
      <c r="D156" s="85" t="s">
        <v>55</v>
      </c>
      <c r="E156" s="86" t="s">
        <v>361</v>
      </c>
      <c r="F156" s="265">
        <v>1000</v>
      </c>
      <c r="G156" s="265"/>
      <c r="H156" s="335">
        <v>1000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</row>
    <row r="157" spans="1:252" s="84" customFormat="1" ht="12.75">
      <c r="A157" s="79"/>
      <c r="B157" s="79"/>
      <c r="C157" s="80"/>
      <c r="D157" s="85" t="s">
        <v>58</v>
      </c>
      <c r="E157" s="86" t="s">
        <v>272</v>
      </c>
      <c r="F157" s="265">
        <v>1000</v>
      </c>
      <c r="G157" s="265"/>
      <c r="H157" s="335">
        <v>1000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</row>
    <row r="158" spans="1:252" s="84" customFormat="1" ht="12.75">
      <c r="A158" s="79"/>
      <c r="B158" s="79"/>
      <c r="C158" s="80"/>
      <c r="D158" s="85" t="s">
        <v>35</v>
      </c>
      <c r="E158" s="86" t="s">
        <v>364</v>
      </c>
      <c r="F158" s="265">
        <v>500</v>
      </c>
      <c r="G158" s="265"/>
      <c r="H158" s="335">
        <v>500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</row>
    <row r="159" spans="1:252" s="84" customFormat="1" ht="12.75">
      <c r="A159" s="79"/>
      <c r="B159" s="79"/>
      <c r="C159" s="80"/>
      <c r="D159" s="85" t="s">
        <v>41</v>
      </c>
      <c r="E159" s="86" t="s">
        <v>393</v>
      </c>
      <c r="F159" s="265">
        <v>400</v>
      </c>
      <c r="G159" s="265"/>
      <c r="H159" s="335">
        <v>400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</row>
    <row r="160" spans="1:252" s="84" customFormat="1" ht="21" customHeight="1">
      <c r="A160" s="79"/>
      <c r="B160" s="79"/>
      <c r="C160" s="97" t="s">
        <v>365</v>
      </c>
      <c r="D160" s="97"/>
      <c r="E160" s="98" t="s">
        <v>366</v>
      </c>
      <c r="F160" s="263">
        <f>F161+F162+F163+F164+F165+F166+F167+F168+F169+F170+F171+F172+F173+F174+F175</f>
        <v>34803.259999999995</v>
      </c>
      <c r="G160" s="263">
        <f>G161+G162+G163+G164+G165+G166+G167+G168+G169+G170+G171+G172+G173+G174+G175</f>
        <v>0</v>
      </c>
      <c r="H160" s="334">
        <f>SUM(H161:H175)</f>
        <v>34803.259999999995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</row>
    <row r="161" spans="1:252" s="84" customFormat="1" ht="19.5" customHeight="1">
      <c r="A161" s="79"/>
      <c r="B161" s="79"/>
      <c r="C161" s="80"/>
      <c r="D161" s="90" t="s">
        <v>11</v>
      </c>
      <c r="E161" s="91" t="s">
        <v>160</v>
      </c>
      <c r="F161" s="264">
        <v>2700</v>
      </c>
      <c r="G161" s="264"/>
      <c r="H161" s="336">
        <v>2700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</row>
    <row r="162" spans="1:252" s="84" customFormat="1" ht="19.5" customHeight="1">
      <c r="A162" s="79"/>
      <c r="B162" s="79"/>
      <c r="C162" s="80"/>
      <c r="D162" s="90" t="s">
        <v>14</v>
      </c>
      <c r="E162" s="86" t="s">
        <v>233</v>
      </c>
      <c r="F162" s="265">
        <v>3000</v>
      </c>
      <c r="G162" s="265"/>
      <c r="H162" s="336">
        <v>3000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</row>
    <row r="163" spans="1:252" s="84" customFormat="1" ht="16.5" customHeight="1">
      <c r="A163" s="79"/>
      <c r="B163" s="79"/>
      <c r="C163" s="80"/>
      <c r="D163" s="85" t="s">
        <v>20</v>
      </c>
      <c r="E163" s="86" t="s">
        <v>233</v>
      </c>
      <c r="F163" s="265">
        <v>1000</v>
      </c>
      <c r="G163" s="265"/>
      <c r="H163" s="335">
        <v>1000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</row>
    <row r="164" spans="1:252" s="84" customFormat="1" ht="16.5" customHeight="1">
      <c r="A164" s="79"/>
      <c r="B164" s="79"/>
      <c r="C164" s="80"/>
      <c r="D164" s="90" t="s">
        <v>23</v>
      </c>
      <c r="E164" s="91" t="s">
        <v>166</v>
      </c>
      <c r="F164" s="264">
        <v>1500</v>
      </c>
      <c r="G164" s="264"/>
      <c r="H164" s="336">
        <v>1500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</row>
    <row r="165" spans="1:252" s="84" customFormat="1" ht="19.5" customHeight="1">
      <c r="A165" s="79"/>
      <c r="B165" s="79"/>
      <c r="C165" s="80"/>
      <c r="D165" s="90" t="s">
        <v>28</v>
      </c>
      <c r="E165" s="86" t="s">
        <v>166</v>
      </c>
      <c r="F165" s="265">
        <v>1000</v>
      </c>
      <c r="G165" s="265"/>
      <c r="H165" s="336">
        <v>1000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</row>
    <row r="166" spans="1:252" s="84" customFormat="1" ht="19.5" customHeight="1">
      <c r="A166" s="79"/>
      <c r="B166" s="79"/>
      <c r="C166" s="80"/>
      <c r="D166" s="90" t="s">
        <v>115</v>
      </c>
      <c r="E166" s="91" t="s">
        <v>251</v>
      </c>
      <c r="F166" s="264">
        <v>1000</v>
      </c>
      <c r="G166" s="264"/>
      <c r="H166" s="336">
        <v>1000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</row>
    <row r="167" spans="1:252" s="84" customFormat="1" ht="23.25" customHeight="1">
      <c r="A167" s="79"/>
      <c r="B167" s="79"/>
      <c r="C167" s="80"/>
      <c r="D167" s="90" t="s">
        <v>34</v>
      </c>
      <c r="E167" s="245" t="s">
        <v>360</v>
      </c>
      <c r="F167" s="264">
        <v>6000</v>
      </c>
      <c r="G167" s="264"/>
      <c r="H167" s="336">
        <v>6000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</row>
    <row r="168" spans="1:252" s="84" customFormat="1" ht="18" customHeight="1">
      <c r="A168" s="79"/>
      <c r="B168" s="79"/>
      <c r="C168" s="80"/>
      <c r="D168" s="90" t="s">
        <v>38</v>
      </c>
      <c r="E168" s="91" t="s">
        <v>207</v>
      </c>
      <c r="F168" s="264">
        <v>1800</v>
      </c>
      <c r="G168" s="264"/>
      <c r="H168" s="336">
        <v>1800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</row>
    <row r="169" spans="1:252" s="84" customFormat="1" ht="12.75">
      <c r="A169" s="79"/>
      <c r="B169" s="79"/>
      <c r="C169" s="80"/>
      <c r="D169" s="85" t="s">
        <v>40</v>
      </c>
      <c r="E169" s="86" t="s">
        <v>270</v>
      </c>
      <c r="F169" s="265">
        <v>2000</v>
      </c>
      <c r="G169" s="265"/>
      <c r="H169" s="335">
        <v>2000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</row>
    <row r="170" spans="1:252" s="84" customFormat="1" ht="12.75">
      <c r="A170" s="79"/>
      <c r="B170" s="79"/>
      <c r="C170" s="80"/>
      <c r="D170" s="85" t="s">
        <v>43</v>
      </c>
      <c r="E170" s="86" t="s">
        <v>382</v>
      </c>
      <c r="F170" s="265">
        <v>5000.5</v>
      </c>
      <c r="G170" s="265"/>
      <c r="H170" s="335">
        <v>5000.5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</row>
    <row r="171" spans="1:252" s="84" customFormat="1" ht="12.75">
      <c r="A171" s="79"/>
      <c r="B171" s="79"/>
      <c r="C171" s="80"/>
      <c r="D171" s="85" t="s">
        <v>49</v>
      </c>
      <c r="E171" s="86" t="s">
        <v>233</v>
      </c>
      <c r="F171" s="265">
        <v>1500</v>
      </c>
      <c r="G171" s="265"/>
      <c r="H171" s="335">
        <v>1500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</row>
    <row r="172" spans="1:252" s="84" customFormat="1" ht="12.75">
      <c r="A172" s="79"/>
      <c r="B172" s="79"/>
      <c r="C172" s="80"/>
      <c r="D172" s="85" t="s">
        <v>55</v>
      </c>
      <c r="E172" s="86" t="s">
        <v>272</v>
      </c>
      <c r="F172" s="265">
        <v>2500</v>
      </c>
      <c r="G172" s="265"/>
      <c r="H172" s="335">
        <v>2500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</row>
    <row r="173" spans="1:252" s="84" customFormat="1" ht="12.75">
      <c r="A173" s="79"/>
      <c r="B173" s="79"/>
      <c r="C173" s="80"/>
      <c r="D173" s="85" t="s">
        <v>35</v>
      </c>
      <c r="E173" s="86" t="s">
        <v>364</v>
      </c>
      <c r="F173" s="265">
        <v>1500</v>
      </c>
      <c r="G173" s="265"/>
      <c r="H173" s="335">
        <v>1500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</row>
    <row r="174" spans="1:252" s="84" customFormat="1" ht="12.75">
      <c r="A174" s="79"/>
      <c r="B174" s="79"/>
      <c r="C174" s="80"/>
      <c r="D174" s="85" t="s">
        <v>58</v>
      </c>
      <c r="E174" s="86" t="s">
        <v>272</v>
      </c>
      <c r="F174" s="265">
        <v>1802.76</v>
      </c>
      <c r="G174" s="265"/>
      <c r="H174" s="335">
        <v>1802.76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</row>
    <row r="175" spans="1:252" s="84" customFormat="1" ht="12.75">
      <c r="A175" s="79"/>
      <c r="B175" s="79"/>
      <c r="C175" s="80"/>
      <c r="D175" s="85" t="s">
        <v>41</v>
      </c>
      <c r="E175" s="86" t="s">
        <v>393</v>
      </c>
      <c r="F175" s="265">
        <v>2500</v>
      </c>
      <c r="G175" s="265"/>
      <c r="H175" s="335">
        <v>2500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</row>
    <row r="176" spans="1:252" s="84" customFormat="1" ht="16.5" customHeight="1">
      <c r="A176" s="79"/>
      <c r="B176" s="79"/>
      <c r="C176" s="97" t="s">
        <v>133</v>
      </c>
      <c r="D176" s="97"/>
      <c r="E176" s="98" t="s">
        <v>134</v>
      </c>
      <c r="F176" s="263">
        <f>F177+F178+F179+F180+F181+F182+F183+F184+F185+F186+F187+F188+F189+F190</f>
        <v>35076.96</v>
      </c>
      <c r="G176" s="263">
        <f>G177+G178+G179+G180+G181+G182+G183+G184+G185+G186+G187+G188+G189+G190</f>
        <v>0</v>
      </c>
      <c r="H176" s="334">
        <f>SUM(H177:H190)</f>
        <v>35076.96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</row>
    <row r="177" spans="1:252" s="84" customFormat="1" ht="22.5" customHeight="1">
      <c r="A177" s="79"/>
      <c r="B177" s="79"/>
      <c r="C177" s="80"/>
      <c r="D177" s="90" t="s">
        <v>112</v>
      </c>
      <c r="E177" s="91" t="s">
        <v>368</v>
      </c>
      <c r="F177" s="264">
        <v>4000</v>
      </c>
      <c r="G177" s="264"/>
      <c r="H177" s="336">
        <v>4000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</row>
    <row r="178" spans="1:252" s="84" customFormat="1" ht="12.75">
      <c r="A178" s="79"/>
      <c r="B178" s="79"/>
      <c r="C178" s="80"/>
      <c r="D178" s="85" t="s">
        <v>11</v>
      </c>
      <c r="E178" s="91" t="s">
        <v>166</v>
      </c>
      <c r="F178" s="264">
        <v>1300</v>
      </c>
      <c r="G178" s="264"/>
      <c r="H178" s="336">
        <v>1300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</row>
    <row r="179" spans="1:252" s="84" customFormat="1" ht="21.75" customHeight="1">
      <c r="A179" s="79"/>
      <c r="B179" s="79"/>
      <c r="C179" s="80"/>
      <c r="D179" s="90" t="s">
        <v>14</v>
      </c>
      <c r="E179" s="91" t="s">
        <v>372</v>
      </c>
      <c r="F179" s="264">
        <v>3000</v>
      </c>
      <c r="G179" s="264"/>
      <c r="H179" s="336">
        <v>3000</v>
      </c>
      <c r="I179" s="22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</row>
    <row r="180" spans="1:252" s="84" customFormat="1" ht="16.5" customHeight="1">
      <c r="A180" s="79"/>
      <c r="B180" s="79"/>
      <c r="C180" s="80"/>
      <c r="D180" s="90" t="s">
        <v>20</v>
      </c>
      <c r="E180" s="91" t="s">
        <v>209</v>
      </c>
      <c r="F180" s="264">
        <v>4000</v>
      </c>
      <c r="G180" s="264"/>
      <c r="H180" s="336">
        <v>4000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</row>
    <row r="181" spans="1:252" s="84" customFormat="1" ht="21" customHeight="1">
      <c r="A181" s="79"/>
      <c r="B181" s="79"/>
      <c r="C181" s="80"/>
      <c r="D181" s="90" t="s">
        <v>23</v>
      </c>
      <c r="E181" s="91" t="s">
        <v>160</v>
      </c>
      <c r="F181" s="264">
        <v>1500</v>
      </c>
      <c r="G181" s="264"/>
      <c r="H181" s="335">
        <v>1500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</row>
    <row r="182" spans="1:252" s="84" customFormat="1" ht="16.5" customHeight="1">
      <c r="A182" s="79"/>
      <c r="B182" s="79"/>
      <c r="C182" s="80"/>
      <c r="D182" s="85" t="s">
        <v>28</v>
      </c>
      <c r="E182" s="86" t="s">
        <v>160</v>
      </c>
      <c r="F182" s="265">
        <v>3500</v>
      </c>
      <c r="G182" s="265"/>
      <c r="H182" s="336">
        <v>3500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</row>
    <row r="183" spans="1:252" s="84" customFormat="1" ht="16.5" customHeight="1">
      <c r="A183" s="79"/>
      <c r="B183" s="79"/>
      <c r="C183" s="80"/>
      <c r="D183" s="85" t="s">
        <v>115</v>
      </c>
      <c r="E183" s="86" t="s">
        <v>377</v>
      </c>
      <c r="F183" s="265">
        <v>500</v>
      </c>
      <c r="G183" s="265"/>
      <c r="H183" s="335">
        <v>500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</row>
    <row r="184" spans="1:252" s="84" customFormat="1" ht="19.5" customHeight="1">
      <c r="A184" s="79"/>
      <c r="B184" s="79"/>
      <c r="C184" s="80"/>
      <c r="D184" s="90" t="s">
        <v>34</v>
      </c>
      <c r="E184" s="245" t="s">
        <v>360</v>
      </c>
      <c r="F184" s="264">
        <v>6000</v>
      </c>
      <c r="G184" s="264"/>
      <c r="H184" s="336">
        <v>6000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</row>
    <row r="185" spans="1:252" s="84" customFormat="1" ht="19.5" customHeight="1">
      <c r="A185" s="79"/>
      <c r="B185" s="79"/>
      <c r="C185" s="80"/>
      <c r="D185" s="90" t="s">
        <v>38</v>
      </c>
      <c r="E185" s="91" t="s">
        <v>207</v>
      </c>
      <c r="F185" s="264">
        <v>1500</v>
      </c>
      <c r="G185" s="264"/>
      <c r="H185" s="335">
        <v>1500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</row>
    <row r="186" spans="1:252" s="84" customFormat="1" ht="16.5" customHeight="1">
      <c r="A186" s="79"/>
      <c r="B186" s="79"/>
      <c r="C186" s="80"/>
      <c r="D186" s="90" t="s">
        <v>43</v>
      </c>
      <c r="E186" s="91" t="s">
        <v>421</v>
      </c>
      <c r="F186" s="264">
        <v>1000</v>
      </c>
      <c r="G186" s="264"/>
      <c r="H186" s="335">
        <v>1000</v>
      </c>
      <c r="I186" s="22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</row>
    <row r="187" spans="1:252" s="84" customFormat="1" ht="16.5" customHeight="1">
      <c r="A187" s="79"/>
      <c r="B187" s="79"/>
      <c r="C187" s="80"/>
      <c r="D187" s="90" t="s">
        <v>49</v>
      </c>
      <c r="E187" s="91" t="s">
        <v>271</v>
      </c>
      <c r="F187" s="264">
        <v>2576.96</v>
      </c>
      <c r="G187" s="264"/>
      <c r="H187" s="335">
        <v>2576.96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</row>
    <row r="188" spans="1:252" s="84" customFormat="1" ht="22.5" customHeight="1">
      <c r="A188" s="79"/>
      <c r="B188" s="79"/>
      <c r="C188" s="80"/>
      <c r="D188" s="85" t="s">
        <v>55</v>
      </c>
      <c r="E188" s="312" t="s">
        <v>422</v>
      </c>
      <c r="F188" s="265">
        <v>2000</v>
      </c>
      <c r="G188" s="265"/>
      <c r="H188" s="335">
        <v>2000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</row>
    <row r="189" spans="1:252" s="84" customFormat="1" ht="13.5" customHeight="1">
      <c r="A189" s="79"/>
      <c r="B189" s="79"/>
      <c r="C189" s="80"/>
      <c r="D189" s="85" t="s">
        <v>35</v>
      </c>
      <c r="E189" s="86" t="s">
        <v>364</v>
      </c>
      <c r="F189" s="265">
        <v>3000</v>
      </c>
      <c r="G189" s="265"/>
      <c r="H189" s="335">
        <v>3000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</row>
    <row r="190" spans="1:252" s="84" customFormat="1" ht="17.25" customHeight="1">
      <c r="A190" s="79"/>
      <c r="B190" s="79"/>
      <c r="C190" s="80"/>
      <c r="D190" s="85" t="s">
        <v>58</v>
      </c>
      <c r="E190" s="86" t="s">
        <v>272</v>
      </c>
      <c r="F190" s="265">
        <v>1200</v>
      </c>
      <c r="G190" s="265"/>
      <c r="H190" s="335">
        <v>1200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</row>
    <row r="191" spans="1:252" s="84" customFormat="1" ht="16.5" customHeight="1">
      <c r="A191" s="111" t="s">
        <v>161</v>
      </c>
      <c r="B191" s="111"/>
      <c r="C191" s="111"/>
      <c r="D191" s="111"/>
      <c r="E191" s="105" t="s">
        <v>162</v>
      </c>
      <c r="F191" s="268">
        <f>F192</f>
        <v>80469.36</v>
      </c>
      <c r="G191" s="268">
        <f>G192</f>
        <v>15300</v>
      </c>
      <c r="H191" s="317">
        <f>H192+H214</f>
        <v>95769.36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</row>
    <row r="192" spans="1:252" s="84" customFormat="1" ht="16.5" customHeight="1">
      <c r="A192" s="437"/>
      <c r="B192" s="359" t="s">
        <v>230</v>
      </c>
      <c r="C192" s="101"/>
      <c r="D192" s="101"/>
      <c r="E192" s="102" t="s">
        <v>231</v>
      </c>
      <c r="F192" s="262">
        <f>F193+F195+F204+F210</f>
        <v>80469.36</v>
      </c>
      <c r="G192" s="262">
        <f>G193+G195+G204+G210</f>
        <v>15300</v>
      </c>
      <c r="H192" s="333">
        <f>H193+H195+H204+H210</f>
        <v>95769.36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</row>
    <row r="193" spans="1:252" s="84" customFormat="1" ht="16.5" customHeight="1">
      <c r="A193" s="438"/>
      <c r="B193" s="435"/>
      <c r="C193" s="357" t="s">
        <v>158</v>
      </c>
      <c r="D193" s="113"/>
      <c r="E193" s="114" t="s">
        <v>159</v>
      </c>
      <c r="F193" s="285">
        <f>F194</f>
        <v>3600</v>
      </c>
      <c r="G193" s="285">
        <f>G194</f>
        <v>0</v>
      </c>
      <c r="H193" s="347">
        <f>H194</f>
        <v>3600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</row>
    <row r="194" spans="1:252" s="84" customFormat="1" ht="16.5" customHeight="1">
      <c r="A194" s="438"/>
      <c r="B194" s="436"/>
      <c r="C194" s="358"/>
      <c r="D194" s="115" t="s">
        <v>43</v>
      </c>
      <c r="E194" s="116" t="s">
        <v>165</v>
      </c>
      <c r="F194" s="286">
        <v>3600</v>
      </c>
      <c r="G194" s="286"/>
      <c r="H194" s="348">
        <v>3600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</row>
    <row r="195" spans="1:252" s="84" customFormat="1" ht="16.5" customHeight="1">
      <c r="A195" s="438"/>
      <c r="B195" s="436"/>
      <c r="C195" s="110" t="s">
        <v>131</v>
      </c>
      <c r="D195" s="97"/>
      <c r="E195" s="98" t="s">
        <v>132</v>
      </c>
      <c r="F195" s="263">
        <f>F196+F197+F198+F199+F200+F201+F202+F203</f>
        <v>28400.09</v>
      </c>
      <c r="G195" s="263">
        <f>G196+G197+G198+G199+G200+G201+G202+G203</f>
        <v>0</v>
      </c>
      <c r="H195" s="334">
        <f>SUM(H196:H203)</f>
        <v>28400.09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</row>
    <row r="196" spans="1:252" s="84" customFormat="1" ht="18.75" customHeight="1">
      <c r="A196" s="438"/>
      <c r="B196" s="436"/>
      <c r="C196" s="80"/>
      <c r="D196" s="85" t="s">
        <v>113</v>
      </c>
      <c r="E196" s="86" t="s">
        <v>370</v>
      </c>
      <c r="F196" s="265">
        <v>4000</v>
      </c>
      <c r="G196" s="265"/>
      <c r="H196" s="336">
        <v>4000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</row>
    <row r="197" spans="1:252" s="84" customFormat="1" ht="18" customHeight="1">
      <c r="A197" s="438"/>
      <c r="B197" s="436"/>
      <c r="C197" s="80"/>
      <c r="D197" s="90" t="s">
        <v>14</v>
      </c>
      <c r="E197" s="245" t="s">
        <v>423</v>
      </c>
      <c r="F197" s="264">
        <v>2000</v>
      </c>
      <c r="G197" s="264"/>
      <c r="H197" s="336">
        <v>2000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</row>
    <row r="198" spans="1:252" s="84" customFormat="1" ht="12.75">
      <c r="A198" s="438"/>
      <c r="B198" s="436"/>
      <c r="C198" s="80"/>
      <c r="D198" s="90" t="s">
        <v>23</v>
      </c>
      <c r="E198" s="91" t="s">
        <v>205</v>
      </c>
      <c r="F198" s="264">
        <v>1500</v>
      </c>
      <c r="G198" s="264"/>
      <c r="H198" s="336">
        <v>1500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</row>
    <row r="199" spans="1:252" s="84" customFormat="1" ht="22.5">
      <c r="A199" s="438"/>
      <c r="B199" s="436"/>
      <c r="C199" s="80"/>
      <c r="D199" s="85" t="s">
        <v>28</v>
      </c>
      <c r="E199" s="86" t="s">
        <v>424</v>
      </c>
      <c r="F199" s="265">
        <v>8000</v>
      </c>
      <c r="G199" s="265"/>
      <c r="H199" s="336">
        <v>8000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</row>
    <row r="200" spans="1:252" s="84" customFormat="1" ht="16.5" customHeight="1">
      <c r="A200" s="438"/>
      <c r="B200" s="436"/>
      <c r="C200" s="80"/>
      <c r="D200" s="85" t="s">
        <v>38</v>
      </c>
      <c r="E200" s="86" t="s">
        <v>168</v>
      </c>
      <c r="F200" s="265">
        <v>600.09</v>
      </c>
      <c r="G200" s="265"/>
      <c r="H200" s="335">
        <v>600.09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</row>
    <row r="201" spans="1:252" s="84" customFormat="1" ht="25.5" customHeight="1">
      <c r="A201" s="438"/>
      <c r="B201" s="436"/>
      <c r="C201" s="80"/>
      <c r="D201" s="85" t="s">
        <v>40</v>
      </c>
      <c r="E201" s="86" t="s">
        <v>224</v>
      </c>
      <c r="F201" s="265">
        <v>3300</v>
      </c>
      <c r="G201" s="265"/>
      <c r="H201" s="335">
        <v>3300</v>
      </c>
      <c r="I201" s="42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</row>
    <row r="202" spans="1:252" s="84" customFormat="1" ht="16.5" customHeight="1">
      <c r="A202" s="438"/>
      <c r="B202" s="436"/>
      <c r="C202" s="80"/>
      <c r="D202" s="85" t="s">
        <v>43</v>
      </c>
      <c r="E202" s="86" t="s">
        <v>165</v>
      </c>
      <c r="F202" s="274">
        <v>5500</v>
      </c>
      <c r="G202" s="274"/>
      <c r="H202" s="335">
        <v>5500</v>
      </c>
      <c r="I202" s="429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</row>
    <row r="203" spans="1:252" s="84" customFormat="1" ht="21.75" customHeight="1">
      <c r="A203" s="438"/>
      <c r="B203" s="436"/>
      <c r="C203" s="80"/>
      <c r="D203" s="85" t="s">
        <v>49</v>
      </c>
      <c r="E203" s="295" t="s">
        <v>275</v>
      </c>
      <c r="F203" s="267">
        <v>3500</v>
      </c>
      <c r="G203" s="267"/>
      <c r="H203" s="349">
        <v>3500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</row>
    <row r="204" spans="1:252" s="84" customFormat="1" ht="16.5" customHeight="1">
      <c r="A204" s="438"/>
      <c r="B204" s="436"/>
      <c r="C204" s="110" t="s">
        <v>133</v>
      </c>
      <c r="D204" s="246"/>
      <c r="E204" s="296" t="s">
        <v>134</v>
      </c>
      <c r="F204" s="259">
        <f>F205+F206+F207+F208+F209</f>
        <v>14469.27</v>
      </c>
      <c r="G204" s="259">
        <f>G205+G206+G207+G208+G209</f>
        <v>0</v>
      </c>
      <c r="H204" s="337">
        <f>SUM(H205:H209)</f>
        <v>14469.27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</row>
    <row r="205" spans="1:252" s="84" customFormat="1" ht="16.5" customHeight="1">
      <c r="A205" s="438"/>
      <c r="B205" s="436"/>
      <c r="C205" s="80"/>
      <c r="D205" s="85" t="s">
        <v>113</v>
      </c>
      <c r="E205" s="256" t="s">
        <v>371</v>
      </c>
      <c r="F205" s="267">
        <v>1469.27</v>
      </c>
      <c r="G205" s="267"/>
      <c r="H205" s="350">
        <v>1469.27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</row>
    <row r="206" spans="1:252" s="84" customFormat="1" ht="16.5" customHeight="1">
      <c r="A206" s="438"/>
      <c r="B206" s="436"/>
      <c r="C206" s="80"/>
      <c r="D206" s="90" t="s">
        <v>14</v>
      </c>
      <c r="E206" s="91" t="s">
        <v>164</v>
      </c>
      <c r="F206" s="281">
        <v>2000</v>
      </c>
      <c r="G206" s="281"/>
      <c r="H206" s="336">
        <v>2000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</row>
    <row r="207" spans="1:252" s="84" customFormat="1" ht="16.5" customHeight="1">
      <c r="A207" s="438"/>
      <c r="B207" s="436"/>
      <c r="C207" s="130"/>
      <c r="D207" s="85" t="s">
        <v>28</v>
      </c>
      <c r="E207" s="86" t="s">
        <v>425</v>
      </c>
      <c r="F207" s="265">
        <v>1000</v>
      </c>
      <c r="G207" s="265"/>
      <c r="H207" s="336">
        <v>1000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</row>
    <row r="208" spans="1:252" s="84" customFormat="1" ht="16.5" customHeight="1">
      <c r="A208" s="438"/>
      <c r="B208" s="436"/>
      <c r="C208" s="159"/>
      <c r="D208" s="85" t="s">
        <v>40</v>
      </c>
      <c r="E208" s="86" t="s">
        <v>390</v>
      </c>
      <c r="F208" s="265">
        <v>3000</v>
      </c>
      <c r="G208" s="265"/>
      <c r="H208" s="336">
        <v>3000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</row>
    <row r="209" spans="1:252" s="84" customFormat="1" ht="39" customHeight="1">
      <c r="A209" s="438"/>
      <c r="B209" s="436"/>
      <c r="C209" s="159"/>
      <c r="D209" s="85" t="s">
        <v>49</v>
      </c>
      <c r="E209" s="86" t="s">
        <v>426</v>
      </c>
      <c r="F209" s="265">
        <v>7000</v>
      </c>
      <c r="G209" s="265"/>
      <c r="H209" s="335">
        <v>7000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</row>
    <row r="210" spans="1:252" s="84" customFormat="1" ht="16.5" customHeight="1">
      <c r="A210" s="438"/>
      <c r="B210" s="436"/>
      <c r="C210" s="110" t="s">
        <v>212</v>
      </c>
      <c r="D210" s="97"/>
      <c r="E210" s="98" t="s">
        <v>232</v>
      </c>
      <c r="F210" s="263">
        <f>F211+F212+F213</f>
        <v>34000</v>
      </c>
      <c r="G210" s="263">
        <f>G211+G212+G213</f>
        <v>15300</v>
      </c>
      <c r="H210" s="263">
        <f>H211+H212+H213</f>
        <v>49300</v>
      </c>
      <c r="I210" s="22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</row>
    <row r="211" spans="1:252" s="84" customFormat="1" ht="16.5" customHeight="1">
      <c r="A211" s="438"/>
      <c r="B211" s="436"/>
      <c r="C211" s="432"/>
      <c r="D211" s="85" t="s">
        <v>113</v>
      </c>
      <c r="E211" s="86" t="s">
        <v>418</v>
      </c>
      <c r="F211" s="265">
        <v>22000</v>
      </c>
      <c r="G211" s="265"/>
      <c r="H211" s="336">
        <v>22000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</row>
    <row r="212" spans="1:252" s="84" customFormat="1" ht="25.5" customHeight="1">
      <c r="A212" s="438"/>
      <c r="B212" s="436"/>
      <c r="C212" s="433"/>
      <c r="D212" s="143" t="s">
        <v>11</v>
      </c>
      <c r="E212" s="351" t="s">
        <v>419</v>
      </c>
      <c r="F212" s="274">
        <v>12000</v>
      </c>
      <c r="G212" s="274"/>
      <c r="H212" s="353">
        <v>12000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</row>
    <row r="213" spans="1:252" s="84" customFormat="1" ht="25.5" customHeight="1">
      <c r="A213" s="438"/>
      <c r="B213" s="436"/>
      <c r="C213" s="434"/>
      <c r="D213" s="163" t="s">
        <v>14</v>
      </c>
      <c r="E213" s="254" t="s">
        <v>394</v>
      </c>
      <c r="F213" s="267">
        <v>0</v>
      </c>
      <c r="G213" s="267">
        <v>15300</v>
      </c>
      <c r="H213" s="356">
        <f>F213+G213</f>
        <v>15300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</row>
    <row r="214" spans="1:252" s="84" customFormat="1" ht="16.5" customHeight="1" hidden="1">
      <c r="A214" s="438"/>
      <c r="B214" s="174" t="s">
        <v>163</v>
      </c>
      <c r="C214" s="175"/>
      <c r="D214" s="175"/>
      <c r="E214" s="354" t="s">
        <v>136</v>
      </c>
      <c r="F214" s="354"/>
      <c r="G214" s="354"/>
      <c r="H214" s="355">
        <f>H215+H220</f>
        <v>0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</row>
    <row r="215" spans="1:252" s="84" customFormat="1" ht="16.5" customHeight="1" hidden="1">
      <c r="A215" s="438"/>
      <c r="B215" s="108"/>
      <c r="C215" s="97" t="s">
        <v>131</v>
      </c>
      <c r="D215" s="97"/>
      <c r="E215" s="98" t="s">
        <v>132</v>
      </c>
      <c r="F215" s="98"/>
      <c r="G215" s="98"/>
      <c r="H215" s="99">
        <f>H216+H218+H219</f>
        <v>0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</row>
    <row r="216" spans="1:252" s="84" customFormat="1" ht="23.25" customHeight="1" hidden="1">
      <c r="A216" s="438"/>
      <c r="B216" s="129"/>
      <c r="C216" s="130"/>
      <c r="D216" s="85" t="s">
        <v>40</v>
      </c>
      <c r="E216" s="89" t="s">
        <v>224</v>
      </c>
      <c r="F216" s="89"/>
      <c r="G216" s="89"/>
      <c r="H216" s="87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</row>
    <row r="217" spans="1:252" s="84" customFormat="1" ht="16.5" customHeight="1" hidden="1">
      <c r="A217" s="438"/>
      <c r="B217" s="79"/>
      <c r="C217" s="80"/>
      <c r="D217" s="90" t="s">
        <v>11</v>
      </c>
      <c r="E217" s="91" t="s">
        <v>195</v>
      </c>
      <c r="F217" s="91"/>
      <c r="G217" s="91"/>
      <c r="H217" s="92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</row>
    <row r="218" spans="1:252" s="84" customFormat="1" ht="16.5" customHeight="1" hidden="1">
      <c r="A218" s="438"/>
      <c r="B218" s="79"/>
      <c r="C218" s="80"/>
      <c r="D218" s="90"/>
      <c r="E218" s="91"/>
      <c r="F218" s="91"/>
      <c r="G218" s="91"/>
      <c r="H218" s="92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</row>
    <row r="219" spans="1:252" s="84" customFormat="1" ht="12.75" customHeight="1" hidden="1">
      <c r="A219" s="438"/>
      <c r="B219" s="79"/>
      <c r="C219" s="80"/>
      <c r="D219" s="90" t="s">
        <v>20</v>
      </c>
      <c r="E219" s="91" t="s">
        <v>205</v>
      </c>
      <c r="F219" s="91"/>
      <c r="G219" s="91"/>
      <c r="H219" s="92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</row>
    <row r="220" spans="1:252" s="84" customFormat="1" ht="16.5" customHeight="1" hidden="1">
      <c r="A220" s="438"/>
      <c r="B220" s="79"/>
      <c r="C220" s="97" t="s">
        <v>133</v>
      </c>
      <c r="D220" s="97"/>
      <c r="E220" s="98" t="s">
        <v>134</v>
      </c>
      <c r="F220" s="98"/>
      <c r="G220" s="98"/>
      <c r="H220" s="99">
        <f>H221+H222</f>
        <v>0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</row>
    <row r="221" spans="1:252" s="84" customFormat="1" ht="16.5" customHeight="1" hidden="1">
      <c r="A221" s="438"/>
      <c r="B221" s="79"/>
      <c r="C221" s="80"/>
      <c r="D221" s="85" t="s">
        <v>14</v>
      </c>
      <c r="E221" s="86" t="s">
        <v>222</v>
      </c>
      <c r="F221" s="86"/>
      <c r="G221" s="86"/>
      <c r="H221" s="87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</row>
    <row r="222" spans="1:252" s="84" customFormat="1" ht="23.25" customHeight="1" hidden="1">
      <c r="A222" s="438"/>
      <c r="B222" s="79"/>
      <c r="C222" s="159"/>
      <c r="D222" s="143" t="s">
        <v>34</v>
      </c>
      <c r="E222" s="351" t="s">
        <v>221</v>
      </c>
      <c r="F222" s="351"/>
      <c r="G222" s="351"/>
      <c r="H222" s="352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</row>
    <row r="223" spans="1:252" s="84" customFormat="1" ht="13.5" customHeight="1" hidden="1">
      <c r="A223" s="439"/>
      <c r="B223" s="83"/>
      <c r="C223" s="83"/>
      <c r="D223" s="83"/>
      <c r="E223" s="83"/>
      <c r="F223" s="83"/>
      <c r="G223" s="83"/>
      <c r="H223" s="83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</row>
    <row r="224" spans="1:8" ht="23.25" customHeight="1">
      <c r="A224" s="424" t="s">
        <v>116</v>
      </c>
      <c r="B224" s="425"/>
      <c r="C224" s="425"/>
      <c r="D224" s="425"/>
      <c r="E224" s="425"/>
      <c r="F224" s="304">
        <f>F7+F16+F30+F41+F45+F54+F63+F95+F191</f>
        <v>517095.94999999995</v>
      </c>
      <c r="G224" s="304">
        <f>G7+G16+G30+G41+G45+G54+G63+G95+G191</f>
        <v>0</v>
      </c>
      <c r="H224" s="304">
        <f>H7+H16+H30+H41+H45+H54+H63+H95+H191</f>
        <v>518595.94999999995</v>
      </c>
    </row>
    <row r="225" spans="1:8" ht="23.25" customHeight="1">
      <c r="A225" s="426" t="s">
        <v>434</v>
      </c>
      <c r="B225" s="427"/>
      <c r="C225" s="427"/>
      <c r="D225" s="427"/>
      <c r="E225" s="427"/>
      <c r="F225" s="297">
        <f>F224-F226</f>
        <v>418655.98</v>
      </c>
      <c r="G225" s="297">
        <f>G224-G226</f>
        <v>0</v>
      </c>
      <c r="H225" s="298">
        <f>H224-H226</f>
        <v>420155.98</v>
      </c>
    </row>
    <row r="226" spans="1:8" ht="23.25" customHeight="1">
      <c r="A226" s="426" t="s">
        <v>229</v>
      </c>
      <c r="B226" s="427"/>
      <c r="C226" s="427"/>
      <c r="D226" s="427"/>
      <c r="E226" s="427"/>
      <c r="F226" s="297">
        <f>F52+F132+F210+F12</f>
        <v>98439.97</v>
      </c>
      <c r="G226" s="297">
        <f>G52+G132+G210+G12</f>
        <v>0</v>
      </c>
      <c r="H226" s="297">
        <f>H52+H132+H210+H12</f>
        <v>98439.97</v>
      </c>
    </row>
    <row r="227" spans="1:8" ht="12.75">
      <c r="A227" s="63"/>
      <c r="B227"/>
      <c r="C227" s="155"/>
      <c r="D227" s="155"/>
      <c r="E227" s="155"/>
      <c r="F227" s="155"/>
      <c r="G227" s="155"/>
      <c r="H227" s="155"/>
    </row>
    <row r="228" spans="1:8" ht="12.75">
      <c r="A228"/>
      <c r="B228"/>
      <c r="C228"/>
      <c r="D228"/>
      <c r="E228"/>
      <c r="F228"/>
      <c r="G228"/>
      <c r="H228" s="75"/>
    </row>
  </sheetData>
  <sheetProtection selectLockedCells="1" selectUnlockedCells="1"/>
  <mergeCells count="15">
    <mergeCell ref="A224:E224"/>
    <mergeCell ref="A225:E225"/>
    <mergeCell ref="A226:E226"/>
    <mergeCell ref="I201:I202"/>
    <mergeCell ref="C77:C81"/>
    <mergeCell ref="C211:C213"/>
    <mergeCell ref="B193:B213"/>
    <mergeCell ref="A192:A223"/>
    <mergeCell ref="A1:H1"/>
    <mergeCell ref="A2:H2"/>
    <mergeCell ref="A3:H3"/>
    <mergeCell ref="A8:A10"/>
    <mergeCell ref="C35:C38"/>
    <mergeCell ref="C83:C84"/>
    <mergeCell ref="B81:B84"/>
  </mergeCells>
  <printOptions/>
  <pageMargins left="0.7" right="0.7" top="0.75" bottom="0.75" header="0.3" footer="0.3"/>
  <pageSetup fitToHeight="0" fitToWidth="1" horizontalDpi="200" verticalDpi="2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23" customWidth="1"/>
    <col min="2" max="2" width="64.57421875" style="223" customWidth="1"/>
    <col min="3" max="3" width="11.28125" style="223" customWidth="1"/>
    <col min="4" max="4" width="13.00390625" style="223" customWidth="1"/>
  </cols>
  <sheetData>
    <row r="1" spans="1:6" ht="12.75">
      <c r="A1" s="440" t="s">
        <v>327</v>
      </c>
      <c r="B1" s="440"/>
      <c r="C1" s="440"/>
      <c r="D1" s="440"/>
      <c r="E1" s="224"/>
      <c r="F1" s="224"/>
    </row>
    <row r="2" spans="1:6" ht="15" customHeight="1">
      <c r="A2" s="441" t="s">
        <v>329</v>
      </c>
      <c r="B2" s="441"/>
      <c r="C2" s="441"/>
      <c r="D2" s="441"/>
      <c r="E2" s="225"/>
      <c r="F2" s="225"/>
    </row>
    <row r="3" spans="1:6" ht="36">
      <c r="A3" s="176" t="s">
        <v>278</v>
      </c>
      <c r="B3" s="177" t="s">
        <v>279</v>
      </c>
      <c r="C3" s="178" t="s">
        <v>328</v>
      </c>
      <c r="D3" s="178" t="s">
        <v>330</v>
      </c>
      <c r="E3" s="73"/>
      <c r="F3" s="73"/>
    </row>
    <row r="4" spans="1:4" ht="12.75">
      <c r="A4" s="179" t="s">
        <v>280</v>
      </c>
      <c r="B4" s="180" t="s">
        <v>112</v>
      </c>
      <c r="C4" s="179">
        <v>269</v>
      </c>
      <c r="D4" s="181">
        <f>SUM(D5:D8)</f>
        <v>19684.41</v>
      </c>
    </row>
    <row r="5" spans="1:4" ht="12.75">
      <c r="A5" s="182"/>
      <c r="B5" s="183" t="s">
        <v>169</v>
      </c>
      <c r="C5" s="184"/>
      <c r="D5" s="185">
        <f>2184.41+1000</f>
        <v>3184.41</v>
      </c>
    </row>
    <row r="6" spans="1:4" ht="12.75">
      <c r="A6" s="182"/>
      <c r="B6" s="183" t="s">
        <v>281</v>
      </c>
      <c r="C6" s="184"/>
      <c r="D6" s="186">
        <v>12000</v>
      </c>
    </row>
    <row r="7" spans="1:4" ht="12.75">
      <c r="A7" s="182"/>
      <c r="B7" s="183" t="s">
        <v>282</v>
      </c>
      <c r="C7" s="184"/>
      <c r="D7" s="186">
        <v>4500</v>
      </c>
    </row>
    <row r="8" spans="1:4" ht="12.75" hidden="1">
      <c r="A8" s="182"/>
      <c r="B8" s="183"/>
      <c r="C8" s="184"/>
      <c r="D8" s="185"/>
    </row>
    <row r="9" spans="1:4" ht="12.75">
      <c r="A9" s="179" t="s">
        <v>283</v>
      </c>
      <c r="B9" s="180" t="s">
        <v>113</v>
      </c>
      <c r="C9" s="179">
        <v>401</v>
      </c>
      <c r="D9" s="181">
        <f>SUM(D10:D14)</f>
        <v>25224.58</v>
      </c>
    </row>
    <row r="10" spans="1:4" ht="12.75">
      <c r="A10" s="187"/>
      <c r="B10" s="188" t="s">
        <v>331</v>
      </c>
      <c r="C10" s="187"/>
      <c r="D10" s="189">
        <v>1724.58</v>
      </c>
    </row>
    <row r="11" spans="1:4" ht="12.75">
      <c r="A11" s="187"/>
      <c r="B11" s="188" t="s">
        <v>332</v>
      </c>
      <c r="C11" s="187"/>
      <c r="D11" s="189">
        <f>2300+3200</f>
        <v>5500</v>
      </c>
    </row>
    <row r="12" spans="1:4" ht="12.75">
      <c r="A12" s="182"/>
      <c r="B12" s="183" t="s">
        <v>333</v>
      </c>
      <c r="C12" s="190"/>
      <c r="D12" s="189">
        <f>7000+1000</f>
        <v>8000</v>
      </c>
    </row>
    <row r="13" spans="1:4" ht="12.75">
      <c r="A13" s="182"/>
      <c r="B13" s="188" t="s">
        <v>245</v>
      </c>
      <c r="C13" s="190"/>
      <c r="D13" s="189">
        <v>10000</v>
      </c>
    </row>
    <row r="14" spans="1:4" ht="12.75" hidden="1">
      <c r="A14" s="182"/>
      <c r="B14" s="183"/>
      <c r="C14" s="190"/>
      <c r="D14" s="189"/>
    </row>
    <row r="15" spans="1:4" ht="12.75">
      <c r="A15" s="179" t="s">
        <v>284</v>
      </c>
      <c r="B15" s="191" t="s">
        <v>11</v>
      </c>
      <c r="C15" s="179">
        <v>291</v>
      </c>
      <c r="D15" s="192">
        <f>SUM(D16:D21)</f>
        <v>20607.77</v>
      </c>
    </row>
    <row r="16" spans="1:4" ht="12.75">
      <c r="A16" s="187"/>
      <c r="B16" s="188" t="s">
        <v>285</v>
      </c>
      <c r="C16" s="187"/>
      <c r="D16" s="185">
        <v>3000</v>
      </c>
    </row>
    <row r="17" spans="1:4" ht="12.75">
      <c r="A17" s="182"/>
      <c r="B17" s="188" t="s">
        <v>286</v>
      </c>
      <c r="C17" s="190"/>
      <c r="D17" s="185">
        <v>1500</v>
      </c>
    </row>
    <row r="18" spans="1:4" ht="12.75">
      <c r="A18" s="182"/>
      <c r="B18" s="188" t="s">
        <v>334</v>
      </c>
      <c r="C18" s="190"/>
      <c r="D18" s="185">
        <v>1000</v>
      </c>
    </row>
    <row r="19" spans="1:4" ht="12.75">
      <c r="A19" s="182"/>
      <c r="B19" s="188" t="s">
        <v>166</v>
      </c>
      <c r="C19" s="190"/>
      <c r="D19" s="185">
        <f>3000+1000</f>
        <v>4000</v>
      </c>
    </row>
    <row r="20" spans="1:4" ht="12.75">
      <c r="A20" s="182"/>
      <c r="B20" s="188" t="s">
        <v>273</v>
      </c>
      <c r="C20" s="190"/>
      <c r="D20" s="185">
        <f>3200+800</f>
        <v>4000</v>
      </c>
    </row>
    <row r="21" spans="1:4" ht="12.75">
      <c r="A21" s="182"/>
      <c r="B21" s="188" t="s">
        <v>277</v>
      </c>
      <c r="C21" s="190"/>
      <c r="D21" s="185">
        <v>7107.77</v>
      </c>
    </row>
    <row r="22" spans="1:4" ht="12.75">
      <c r="A22" s="179" t="s">
        <v>287</v>
      </c>
      <c r="B22" s="180" t="s">
        <v>14</v>
      </c>
      <c r="C22" s="179">
        <v>741</v>
      </c>
      <c r="D22" s="181">
        <f>SUM(D23:D30)</f>
        <v>39494.72</v>
      </c>
    </row>
    <row r="23" spans="1:4" ht="12.75">
      <c r="A23" s="182"/>
      <c r="B23" s="183" t="s">
        <v>211</v>
      </c>
      <c r="C23" s="193"/>
      <c r="D23" s="185">
        <v>3000</v>
      </c>
    </row>
    <row r="24" spans="1:4" ht="12.75">
      <c r="A24" s="182"/>
      <c r="B24" s="194" t="s">
        <v>246</v>
      </c>
      <c r="C24" s="193"/>
      <c r="D24" s="185">
        <v>4000</v>
      </c>
    </row>
    <row r="25" spans="1:4" ht="12.75">
      <c r="A25" s="182"/>
      <c r="B25" s="183" t="s">
        <v>210</v>
      </c>
      <c r="C25" s="193"/>
      <c r="D25" s="185">
        <v>1000</v>
      </c>
    </row>
    <row r="26" spans="1:4" ht="22.5">
      <c r="A26" s="182"/>
      <c r="B26" s="183" t="s">
        <v>335</v>
      </c>
      <c r="C26" s="193"/>
      <c r="D26" s="185">
        <f>2500+15994.72</f>
        <v>18494.72</v>
      </c>
    </row>
    <row r="27" spans="1:4" ht="12.75">
      <c r="A27" s="182"/>
      <c r="B27" s="183" t="s">
        <v>201</v>
      </c>
      <c r="C27" s="193"/>
      <c r="D27" s="185">
        <f>1500+2500+4000</f>
        <v>8000</v>
      </c>
    </row>
    <row r="28" spans="1:4" ht="12.75">
      <c r="A28" s="182"/>
      <c r="B28" s="183" t="s">
        <v>288</v>
      </c>
      <c r="C28" s="193"/>
      <c r="D28" s="185">
        <f>3000+2000</f>
        <v>5000</v>
      </c>
    </row>
    <row r="29" spans="1:4" ht="12.75" hidden="1">
      <c r="A29" s="182"/>
      <c r="B29" s="183" t="s">
        <v>201</v>
      </c>
      <c r="C29" s="193"/>
      <c r="D29" s="185"/>
    </row>
    <row r="30" spans="1:4" ht="12.75" hidden="1">
      <c r="A30" s="182"/>
      <c r="B30" s="183" t="s">
        <v>288</v>
      </c>
      <c r="C30" s="193"/>
      <c r="D30" s="185"/>
    </row>
    <row r="31" spans="1:4" ht="12.75">
      <c r="A31" s="179" t="s">
        <v>289</v>
      </c>
      <c r="B31" s="180" t="s">
        <v>20</v>
      </c>
      <c r="C31" s="179">
        <v>357</v>
      </c>
      <c r="D31" s="181">
        <f>SUM(D32:D39)</f>
        <v>23377.86</v>
      </c>
    </row>
    <row r="32" spans="1:4" ht="12.75">
      <c r="A32" s="187"/>
      <c r="B32" s="188" t="s">
        <v>257</v>
      </c>
      <c r="C32" s="187"/>
      <c r="D32" s="195">
        <v>300</v>
      </c>
    </row>
    <row r="33" spans="1:4" ht="12.75">
      <c r="A33" s="182"/>
      <c r="B33" s="188" t="s">
        <v>336</v>
      </c>
      <c r="C33" s="190"/>
      <c r="D33" s="185">
        <v>2980</v>
      </c>
    </row>
    <row r="34" spans="1:4" ht="12.75">
      <c r="A34" s="182"/>
      <c r="B34" s="194" t="s">
        <v>227</v>
      </c>
      <c r="C34" s="190"/>
      <c r="D34" s="185">
        <v>1800</v>
      </c>
    </row>
    <row r="35" spans="1:4" ht="22.5">
      <c r="A35" s="182"/>
      <c r="B35" s="188" t="s">
        <v>337</v>
      </c>
      <c r="C35" s="190"/>
      <c r="D35" s="185">
        <v>2000</v>
      </c>
    </row>
    <row r="36" spans="1:4" ht="12.75">
      <c r="A36" s="182"/>
      <c r="B36" s="188" t="s">
        <v>267</v>
      </c>
      <c r="C36" s="190"/>
      <c r="D36" s="185">
        <v>3000</v>
      </c>
    </row>
    <row r="37" spans="1:4" ht="12.75">
      <c r="A37" s="182"/>
      <c r="B37" s="188" t="s">
        <v>209</v>
      </c>
      <c r="C37" s="190"/>
      <c r="D37" s="185">
        <f>3597.86+2500</f>
        <v>6097.860000000001</v>
      </c>
    </row>
    <row r="38" spans="1:4" ht="12.75">
      <c r="A38" s="182"/>
      <c r="B38" s="183" t="s">
        <v>338</v>
      </c>
      <c r="C38" s="190"/>
      <c r="D38" s="196">
        <v>5200</v>
      </c>
    </row>
    <row r="39" spans="1:4" ht="12.75">
      <c r="A39" s="182"/>
      <c r="B39" s="183" t="s">
        <v>339</v>
      </c>
      <c r="C39" s="190"/>
      <c r="D39" s="196">
        <v>2000</v>
      </c>
    </row>
    <row r="40" spans="1:4" ht="12.75">
      <c r="A40" s="179" t="s">
        <v>290</v>
      </c>
      <c r="B40" s="180" t="s">
        <v>23</v>
      </c>
      <c r="C40" s="179">
        <v>154</v>
      </c>
      <c r="D40" s="181">
        <f>SUM(D41:D47)</f>
        <v>14857.74</v>
      </c>
    </row>
    <row r="41" spans="1:4" ht="12.75">
      <c r="A41" s="182"/>
      <c r="B41" s="183" t="s">
        <v>340</v>
      </c>
      <c r="C41" s="193"/>
      <c r="D41" s="185">
        <v>4000</v>
      </c>
    </row>
    <row r="42" spans="1:4" ht="12.75">
      <c r="A42" s="182"/>
      <c r="B42" s="183" t="s">
        <v>341</v>
      </c>
      <c r="C42" s="193"/>
      <c r="D42" s="185">
        <v>2500</v>
      </c>
    </row>
    <row r="43" spans="1:4" ht="12.75">
      <c r="A43" s="182"/>
      <c r="B43" s="183" t="s">
        <v>166</v>
      </c>
      <c r="C43" s="193"/>
      <c r="D43" s="185">
        <f>1857.74+1000</f>
        <v>2857.74</v>
      </c>
    </row>
    <row r="44" spans="1:4" ht="12.75">
      <c r="A44" s="182"/>
      <c r="B44" s="183" t="s">
        <v>205</v>
      </c>
      <c r="C44" s="193"/>
      <c r="D44" s="185">
        <v>1500</v>
      </c>
    </row>
    <row r="45" spans="1:4" ht="12.75">
      <c r="A45" s="182"/>
      <c r="B45" s="183" t="s">
        <v>203</v>
      </c>
      <c r="C45" s="193"/>
      <c r="D45" s="185">
        <f>2000+1000</f>
        <v>3000</v>
      </c>
    </row>
    <row r="46" spans="1:4" ht="12.75">
      <c r="A46" s="182"/>
      <c r="B46" s="183" t="s">
        <v>167</v>
      </c>
      <c r="C46" s="193"/>
      <c r="D46" s="185">
        <v>1000</v>
      </c>
    </row>
    <row r="47" spans="1:4" ht="12.75" hidden="1">
      <c r="A47" s="197"/>
      <c r="B47" s="198" t="s">
        <v>291</v>
      </c>
      <c r="C47" s="198"/>
      <c r="D47" s="199"/>
    </row>
    <row r="48" spans="1:4" ht="12.75">
      <c r="A48" s="179" t="s">
        <v>292</v>
      </c>
      <c r="B48" s="180" t="s">
        <v>28</v>
      </c>
      <c r="C48" s="179">
        <v>460</v>
      </c>
      <c r="D48" s="181">
        <f>SUM(D49:D56)</f>
        <v>27700.87</v>
      </c>
    </row>
    <row r="49" spans="1:4" ht="12.75">
      <c r="A49" s="187"/>
      <c r="B49" s="188" t="s">
        <v>227</v>
      </c>
      <c r="C49" s="200"/>
      <c r="D49" s="189">
        <v>5000</v>
      </c>
    </row>
    <row r="50" spans="1:4" ht="12.75">
      <c r="A50" s="187"/>
      <c r="B50" s="188" t="s">
        <v>293</v>
      </c>
      <c r="C50" s="200"/>
      <c r="D50" s="189">
        <v>7700.87</v>
      </c>
    </row>
    <row r="51" spans="1:4" ht="12.75">
      <c r="A51" s="182"/>
      <c r="B51" s="188" t="s">
        <v>166</v>
      </c>
      <c r="C51" s="200"/>
      <c r="D51" s="185">
        <f>2000+3000</f>
        <v>5000</v>
      </c>
    </row>
    <row r="52" spans="1:4" ht="12.75">
      <c r="A52" s="182"/>
      <c r="B52" s="188" t="s">
        <v>274</v>
      </c>
      <c r="C52" s="200"/>
      <c r="D52" s="185">
        <v>10000</v>
      </c>
    </row>
    <row r="53" spans="1:4" ht="12.75" hidden="1">
      <c r="A53" s="182"/>
      <c r="B53" s="188" t="s">
        <v>294</v>
      </c>
      <c r="C53" s="200"/>
      <c r="D53" s="185"/>
    </row>
    <row r="54" spans="1:4" ht="12.75" hidden="1">
      <c r="A54" s="182"/>
      <c r="B54" s="188" t="s">
        <v>166</v>
      </c>
      <c r="C54" s="200"/>
      <c r="D54" s="185"/>
    </row>
    <row r="55" spans="1:4" ht="12.75" hidden="1">
      <c r="A55" s="182"/>
      <c r="B55" s="188" t="s">
        <v>295</v>
      </c>
      <c r="C55" s="200"/>
      <c r="D55" s="185"/>
    </row>
    <row r="56" spans="1:4" ht="12.75" hidden="1">
      <c r="A56" s="182"/>
      <c r="B56" s="188" t="s">
        <v>223</v>
      </c>
      <c r="C56" s="200"/>
      <c r="D56" s="185"/>
    </row>
    <row r="57" spans="1:4" ht="12.75">
      <c r="A57" s="179" t="s">
        <v>296</v>
      </c>
      <c r="B57" s="180" t="s">
        <v>114</v>
      </c>
      <c r="C57" s="179">
        <v>53</v>
      </c>
      <c r="D57" s="181">
        <f>SUM(D58:D61)</f>
        <v>10618.67</v>
      </c>
    </row>
    <row r="58" spans="1:4" ht="12.75">
      <c r="A58" s="187"/>
      <c r="B58" s="190" t="s">
        <v>268</v>
      </c>
      <c r="C58" s="187"/>
      <c r="D58" s="195">
        <v>10618.67</v>
      </c>
    </row>
    <row r="59" spans="1:4" ht="12.75" hidden="1">
      <c r="A59" s="187"/>
      <c r="B59" s="190" t="s">
        <v>226</v>
      </c>
      <c r="C59" s="187"/>
      <c r="D59" s="195"/>
    </row>
    <row r="60" spans="1:4" ht="12.75" hidden="1">
      <c r="A60" s="187"/>
      <c r="B60" s="190" t="s">
        <v>297</v>
      </c>
      <c r="C60" s="187"/>
      <c r="D60" s="185"/>
    </row>
    <row r="61" spans="1:4" ht="12.75" hidden="1">
      <c r="A61" s="197"/>
      <c r="B61" s="201" t="s">
        <v>298</v>
      </c>
      <c r="C61" s="202"/>
      <c r="D61" s="199"/>
    </row>
    <row r="62" spans="1:4" ht="12.75">
      <c r="A62" s="179" t="s">
        <v>299</v>
      </c>
      <c r="B62" s="180" t="s">
        <v>115</v>
      </c>
      <c r="C62" s="179">
        <v>83</v>
      </c>
      <c r="D62" s="181">
        <f>SUM(D63:D69)</f>
        <v>11877.8</v>
      </c>
    </row>
    <row r="63" spans="1:4" ht="12.75">
      <c r="A63" s="182"/>
      <c r="B63" s="183" t="s">
        <v>250</v>
      </c>
      <c r="C63" s="200"/>
      <c r="D63" s="185">
        <v>1000</v>
      </c>
    </row>
    <row r="64" spans="1:4" ht="12.75">
      <c r="A64" s="182"/>
      <c r="B64" s="188" t="s">
        <v>200</v>
      </c>
      <c r="C64" s="200"/>
      <c r="D64" s="185">
        <v>1000</v>
      </c>
    </row>
    <row r="65" spans="1:4" ht="12.75">
      <c r="A65" s="182"/>
      <c r="B65" s="188" t="s">
        <v>265</v>
      </c>
      <c r="C65" s="200"/>
      <c r="D65" s="185">
        <v>7400</v>
      </c>
    </row>
    <row r="66" spans="1:4" ht="12.75">
      <c r="A66" s="182"/>
      <c r="B66" s="188" t="s">
        <v>251</v>
      </c>
      <c r="C66" s="200"/>
      <c r="D66" s="185">
        <v>1677.8</v>
      </c>
    </row>
    <row r="67" spans="1:4" ht="12.75">
      <c r="A67" s="182"/>
      <c r="B67" s="190" t="s">
        <v>269</v>
      </c>
      <c r="C67" s="200"/>
      <c r="D67" s="185">
        <v>800</v>
      </c>
    </row>
    <row r="68" spans="1:4" ht="12.75" hidden="1">
      <c r="A68" s="182"/>
      <c r="B68" s="190" t="s">
        <v>300</v>
      </c>
      <c r="C68" s="200"/>
      <c r="D68" s="185"/>
    </row>
    <row r="69" spans="1:4" ht="12.75" hidden="1">
      <c r="A69" s="197"/>
      <c r="B69" s="203" t="s">
        <v>301</v>
      </c>
      <c r="C69" s="204"/>
      <c r="D69" s="199"/>
    </row>
    <row r="70" spans="1:4" ht="12.75">
      <c r="A70" s="179" t="s">
        <v>302</v>
      </c>
      <c r="B70" s="180" t="s">
        <v>34</v>
      </c>
      <c r="C70" s="179">
        <v>577</v>
      </c>
      <c r="D70" s="181">
        <f>SUM(D71:D77)</f>
        <v>32611.48</v>
      </c>
    </row>
    <row r="71" spans="1:4" ht="12.75">
      <c r="A71" s="226"/>
      <c r="B71" s="190" t="s">
        <v>254</v>
      </c>
      <c r="C71" s="226"/>
      <c r="D71" s="189">
        <v>500</v>
      </c>
    </row>
    <row r="72" spans="1:4" ht="12.75">
      <c r="A72" s="187"/>
      <c r="B72" s="190" t="s">
        <v>228</v>
      </c>
      <c r="C72" s="200"/>
      <c r="D72" s="189">
        <v>1500</v>
      </c>
    </row>
    <row r="73" spans="1:4" ht="12.75">
      <c r="A73" s="187"/>
      <c r="B73" s="188" t="s">
        <v>252</v>
      </c>
      <c r="C73" s="200"/>
      <c r="D73" s="189">
        <v>2000</v>
      </c>
    </row>
    <row r="74" spans="1:4" ht="12.75">
      <c r="A74" s="187"/>
      <c r="B74" s="188" t="s">
        <v>263</v>
      </c>
      <c r="C74" s="187"/>
      <c r="D74" s="205">
        <v>9000</v>
      </c>
    </row>
    <row r="75" spans="1:4" ht="12.75">
      <c r="A75" s="187"/>
      <c r="B75" s="188" t="s">
        <v>342</v>
      </c>
      <c r="C75" s="187"/>
      <c r="D75" s="205">
        <v>2000</v>
      </c>
    </row>
    <row r="76" spans="1:4" ht="12.75">
      <c r="A76" s="182"/>
      <c r="B76" s="188" t="s">
        <v>303</v>
      </c>
      <c r="C76" s="200"/>
      <c r="D76" s="185">
        <f>4441.88+388.8+1180.8+4600</f>
        <v>10611.48</v>
      </c>
    </row>
    <row r="77" spans="1:4" ht="12.75">
      <c r="A77" s="182"/>
      <c r="B77" s="188" t="s">
        <v>343</v>
      </c>
      <c r="C77" s="200"/>
      <c r="D77" s="185">
        <f>3500+3500</f>
        <v>7000</v>
      </c>
    </row>
    <row r="78" spans="1:4" ht="12.75">
      <c r="A78" s="179" t="s">
        <v>304</v>
      </c>
      <c r="B78" s="180" t="s">
        <v>38</v>
      </c>
      <c r="C78" s="179">
        <v>193</v>
      </c>
      <c r="D78" s="181">
        <f>SUM(D79:D83)</f>
        <v>16494.61</v>
      </c>
    </row>
    <row r="79" spans="1:4" ht="12.75">
      <c r="A79" s="182"/>
      <c r="B79" s="188" t="s">
        <v>266</v>
      </c>
      <c r="C79" s="200"/>
      <c r="D79" s="185">
        <v>10700</v>
      </c>
    </row>
    <row r="80" spans="1:4" ht="12.75">
      <c r="A80" s="182"/>
      <c r="B80" s="206" t="s">
        <v>207</v>
      </c>
      <c r="C80" s="200"/>
      <c r="D80" s="185">
        <f>2000+1500</f>
        <v>3500</v>
      </c>
    </row>
    <row r="81" spans="1:4" ht="12.75">
      <c r="A81" s="182"/>
      <c r="B81" s="206" t="s">
        <v>344</v>
      </c>
      <c r="C81" s="200"/>
      <c r="D81" s="185">
        <v>1694.61</v>
      </c>
    </row>
    <row r="82" spans="1:4" ht="12.75">
      <c r="A82" s="182"/>
      <c r="B82" s="188" t="s">
        <v>168</v>
      </c>
      <c r="C82" s="200"/>
      <c r="D82" s="185">
        <v>600</v>
      </c>
    </row>
    <row r="83" spans="1:4" ht="12.75" hidden="1">
      <c r="A83" s="182"/>
      <c r="B83" s="188" t="s">
        <v>168</v>
      </c>
      <c r="C83" s="200"/>
      <c r="D83" s="185"/>
    </row>
    <row r="84" spans="1:4" ht="12.75">
      <c r="A84" s="179" t="s">
        <v>305</v>
      </c>
      <c r="B84" s="180" t="s">
        <v>40</v>
      </c>
      <c r="C84" s="179">
        <v>1190</v>
      </c>
      <c r="D84" s="181">
        <f>SUM(D85:D95)</f>
        <v>41971.01</v>
      </c>
    </row>
    <row r="85" spans="1:4" ht="12.75" hidden="1">
      <c r="A85" s="207"/>
      <c r="B85" s="183" t="s">
        <v>306</v>
      </c>
      <c r="C85" s="208"/>
      <c r="D85" s="185"/>
    </row>
    <row r="86" spans="1:4" ht="12.75" hidden="1">
      <c r="A86" s="207"/>
      <c r="B86" s="183" t="s">
        <v>307</v>
      </c>
      <c r="C86" s="208"/>
      <c r="D86" s="185"/>
    </row>
    <row r="87" spans="1:4" ht="12.75">
      <c r="A87" s="209"/>
      <c r="B87" s="183" t="s">
        <v>135</v>
      </c>
      <c r="C87" s="208"/>
      <c r="D87" s="185">
        <v>2000</v>
      </c>
    </row>
    <row r="88" spans="1:4" ht="12.75">
      <c r="A88" s="207"/>
      <c r="B88" s="183" t="s">
        <v>260</v>
      </c>
      <c r="C88" s="208"/>
      <c r="D88" s="185">
        <v>3000</v>
      </c>
    </row>
    <row r="89" spans="1:4" ht="12.75">
      <c r="A89" s="207"/>
      <c r="B89" s="194" t="s">
        <v>256</v>
      </c>
      <c r="C89" s="208"/>
      <c r="D89" s="185">
        <v>21000</v>
      </c>
    </row>
    <row r="90" spans="1:4" ht="12.75">
      <c r="A90" s="207"/>
      <c r="B90" s="183" t="s">
        <v>219</v>
      </c>
      <c r="C90" s="208"/>
      <c r="D90" s="185">
        <f>2200+2000+2500</f>
        <v>6700</v>
      </c>
    </row>
    <row r="91" spans="1:4" ht="12.75">
      <c r="A91" s="207"/>
      <c r="B91" s="183" t="s">
        <v>308</v>
      </c>
      <c r="C91" s="208"/>
      <c r="D91" s="185">
        <v>221.01</v>
      </c>
    </row>
    <row r="92" spans="1:4" ht="12.75">
      <c r="A92" s="207"/>
      <c r="B92" s="183" t="s">
        <v>270</v>
      </c>
      <c r="C92" s="208"/>
      <c r="D92" s="185">
        <f>1500+1500</f>
        <v>3000</v>
      </c>
    </row>
    <row r="93" spans="1:4" ht="12.75">
      <c r="A93" s="207"/>
      <c r="B93" s="183" t="s">
        <v>345</v>
      </c>
      <c r="C93" s="208"/>
      <c r="D93" s="185">
        <v>2250</v>
      </c>
    </row>
    <row r="94" spans="1:4" ht="12.75">
      <c r="A94" s="207"/>
      <c r="B94" s="211" t="s">
        <v>309</v>
      </c>
      <c r="C94" s="208"/>
      <c r="D94" s="185">
        <v>3800</v>
      </c>
    </row>
    <row r="95" spans="1:4" ht="12.75" hidden="1">
      <c r="A95" s="210"/>
      <c r="B95" s="211"/>
      <c r="C95" s="212"/>
      <c r="D95" s="199"/>
    </row>
    <row r="96" spans="1:4" ht="12.75">
      <c r="A96" s="179" t="s">
        <v>310</v>
      </c>
      <c r="B96" s="180" t="s">
        <v>43</v>
      </c>
      <c r="C96" s="179">
        <v>833</v>
      </c>
      <c r="D96" s="181">
        <f>SUM(D97:D104)</f>
        <v>41971.01</v>
      </c>
    </row>
    <row r="97" spans="1:4" ht="22.5" hidden="1">
      <c r="A97" s="187"/>
      <c r="B97" s="213" t="s">
        <v>311</v>
      </c>
      <c r="C97" s="187"/>
      <c r="D97" s="205"/>
    </row>
    <row r="98" spans="1:4" ht="12.75">
      <c r="A98" s="208"/>
      <c r="B98" s="188" t="s">
        <v>346</v>
      </c>
      <c r="C98" s="208"/>
      <c r="D98" s="185">
        <v>9000</v>
      </c>
    </row>
    <row r="99" spans="1:4" ht="12.75">
      <c r="A99" s="208"/>
      <c r="B99" s="183" t="s">
        <v>228</v>
      </c>
      <c r="C99" s="208"/>
      <c r="D99" s="185">
        <v>1000</v>
      </c>
    </row>
    <row r="100" spans="1:4" ht="12.75">
      <c r="A100" s="208"/>
      <c r="B100" s="183" t="s">
        <v>347</v>
      </c>
      <c r="C100" s="208"/>
      <c r="D100" s="185">
        <v>9000</v>
      </c>
    </row>
    <row r="101" spans="1:4" ht="12.75">
      <c r="A101" s="208"/>
      <c r="B101" s="183" t="s">
        <v>201</v>
      </c>
      <c r="C101" s="208"/>
      <c r="D101" s="185">
        <v>6771.01</v>
      </c>
    </row>
    <row r="102" spans="1:4" ht="12.75">
      <c r="A102" s="208"/>
      <c r="B102" s="183" t="s">
        <v>348</v>
      </c>
      <c r="C102" s="208"/>
      <c r="D102" s="185">
        <v>5000</v>
      </c>
    </row>
    <row r="103" spans="1:4" ht="12.75">
      <c r="A103" s="208"/>
      <c r="B103" s="183" t="s">
        <v>312</v>
      </c>
      <c r="C103" s="193"/>
      <c r="D103" s="185">
        <f>3200+5500</f>
        <v>8700</v>
      </c>
    </row>
    <row r="104" spans="1:4" ht="12.75">
      <c r="A104" s="208"/>
      <c r="B104" s="183" t="s">
        <v>349</v>
      </c>
      <c r="C104" s="193"/>
      <c r="D104" s="185">
        <v>2500</v>
      </c>
    </row>
    <row r="105" spans="1:4" ht="12.75">
      <c r="A105" s="179" t="s">
        <v>313</v>
      </c>
      <c r="B105" s="180" t="s">
        <v>49</v>
      </c>
      <c r="C105" s="179">
        <v>324</v>
      </c>
      <c r="D105" s="181">
        <f>SUM(D106:D111)</f>
        <v>21992.809999999998</v>
      </c>
    </row>
    <row r="106" spans="1:4" ht="12.75">
      <c r="A106" s="187"/>
      <c r="B106" s="214" t="s">
        <v>190</v>
      </c>
      <c r="C106" s="215"/>
      <c r="D106" s="216">
        <v>1000</v>
      </c>
    </row>
    <row r="107" spans="1:4" ht="12.75">
      <c r="A107" s="200"/>
      <c r="B107" s="190" t="s">
        <v>350</v>
      </c>
      <c r="C107" s="217"/>
      <c r="D107" s="195">
        <v>2000</v>
      </c>
    </row>
    <row r="108" spans="1:4" ht="12.75">
      <c r="A108" s="200"/>
      <c r="B108" s="188" t="s">
        <v>253</v>
      </c>
      <c r="C108" s="200"/>
      <c r="D108" s="185">
        <v>12000</v>
      </c>
    </row>
    <row r="109" spans="1:4" ht="12.75">
      <c r="A109" s="200"/>
      <c r="B109" s="188" t="s">
        <v>201</v>
      </c>
      <c r="C109" s="200"/>
      <c r="D109" s="185">
        <f>1992.81+2500</f>
        <v>4492.8099999999995</v>
      </c>
    </row>
    <row r="110" spans="1:4" ht="12.75" hidden="1">
      <c r="A110" s="200"/>
      <c r="B110" s="188" t="s">
        <v>314</v>
      </c>
      <c r="C110" s="200"/>
      <c r="D110" s="185"/>
    </row>
    <row r="111" spans="1:4" ht="12.75">
      <c r="A111" s="200"/>
      <c r="B111" s="183" t="s">
        <v>351</v>
      </c>
      <c r="C111" s="200"/>
      <c r="D111" s="185">
        <v>2500</v>
      </c>
    </row>
    <row r="112" spans="1:4" ht="12.75">
      <c r="A112" s="179" t="s">
        <v>315</v>
      </c>
      <c r="B112" s="180" t="s">
        <v>52</v>
      </c>
      <c r="C112" s="179">
        <v>248</v>
      </c>
      <c r="D112" s="181">
        <f>SUM(D113:D119)</f>
        <v>18803.010000000002</v>
      </c>
    </row>
    <row r="113" spans="1:4" ht="12.75" hidden="1">
      <c r="A113" s="208"/>
      <c r="B113" s="183" t="s">
        <v>203</v>
      </c>
      <c r="C113" s="208"/>
      <c r="D113" s="185"/>
    </row>
    <row r="114" spans="1:4" ht="12.75">
      <c r="A114" s="208"/>
      <c r="B114" s="183" t="s">
        <v>141</v>
      </c>
      <c r="C114" s="208"/>
      <c r="D114" s="185">
        <v>1000</v>
      </c>
    </row>
    <row r="115" spans="1:4" ht="12.75">
      <c r="A115" s="207"/>
      <c r="B115" s="183" t="s">
        <v>219</v>
      </c>
      <c r="C115" s="218"/>
      <c r="D115" s="185">
        <f>1500+2500</f>
        <v>4000</v>
      </c>
    </row>
    <row r="116" spans="1:4" ht="22.5">
      <c r="A116" s="207"/>
      <c r="B116" s="183" t="s">
        <v>352</v>
      </c>
      <c r="C116" s="208"/>
      <c r="D116" s="185">
        <f>1700+503.01</f>
        <v>2203.01</v>
      </c>
    </row>
    <row r="117" spans="1:4" ht="12.75" hidden="1">
      <c r="A117" s="207"/>
      <c r="B117" s="183" t="s">
        <v>316</v>
      </c>
      <c r="C117" s="208"/>
      <c r="D117" s="185"/>
    </row>
    <row r="118" spans="1:4" ht="12.75">
      <c r="A118" s="207"/>
      <c r="B118" s="183" t="s">
        <v>202</v>
      </c>
      <c r="C118" s="208"/>
      <c r="D118" s="185">
        <f>6500+3000</f>
        <v>9500</v>
      </c>
    </row>
    <row r="119" spans="1:4" ht="12.75">
      <c r="A119" s="207"/>
      <c r="B119" s="183" t="s">
        <v>276</v>
      </c>
      <c r="C119" s="208"/>
      <c r="D119" s="185">
        <v>2100</v>
      </c>
    </row>
    <row r="120" spans="1:4" ht="12.75">
      <c r="A120" s="179" t="s">
        <v>317</v>
      </c>
      <c r="B120" s="180" t="s">
        <v>55</v>
      </c>
      <c r="C120" s="179">
        <v>571</v>
      </c>
      <c r="D120" s="181">
        <f>SUM(D121:D130)</f>
        <v>32359.65</v>
      </c>
    </row>
    <row r="121" spans="1:4" ht="12.75" hidden="1">
      <c r="A121" s="187"/>
      <c r="B121" s="213"/>
      <c r="C121" s="187"/>
      <c r="D121" s="205"/>
    </row>
    <row r="122" spans="1:4" ht="12.75">
      <c r="A122" s="187"/>
      <c r="B122" s="188" t="s">
        <v>353</v>
      </c>
      <c r="C122" s="187"/>
      <c r="D122" s="185">
        <v>3000</v>
      </c>
    </row>
    <row r="123" spans="1:4" ht="12.75" hidden="1">
      <c r="A123" s="187"/>
      <c r="B123" s="183" t="s">
        <v>318</v>
      </c>
      <c r="C123" s="187"/>
      <c r="D123" s="185"/>
    </row>
    <row r="124" spans="1:4" ht="12.75">
      <c r="A124" s="200"/>
      <c r="B124" s="188" t="s">
        <v>319</v>
      </c>
      <c r="C124" s="200"/>
      <c r="D124" s="185">
        <f>2000+3500</f>
        <v>5500</v>
      </c>
    </row>
    <row r="125" spans="1:4" ht="12.75" hidden="1">
      <c r="A125" s="200"/>
      <c r="B125" s="188" t="s">
        <v>320</v>
      </c>
      <c r="C125" s="200"/>
      <c r="D125" s="185"/>
    </row>
    <row r="126" spans="1:4" ht="12.75">
      <c r="A126" s="200"/>
      <c r="B126" s="188" t="s">
        <v>225</v>
      </c>
      <c r="C126" s="200"/>
      <c r="D126" s="185">
        <v>5500</v>
      </c>
    </row>
    <row r="127" spans="1:4" ht="12.75">
      <c r="A127" s="200"/>
      <c r="B127" s="188" t="s">
        <v>321</v>
      </c>
      <c r="C127" s="200"/>
      <c r="D127" s="185">
        <f>3000+4000+400</f>
        <v>7400</v>
      </c>
    </row>
    <row r="128" spans="1:4" ht="12.75">
      <c r="A128" s="200"/>
      <c r="B128" s="188" t="s">
        <v>235</v>
      </c>
      <c r="C128" s="200"/>
      <c r="D128" s="185">
        <f>5000+3000</f>
        <v>8000</v>
      </c>
    </row>
    <row r="129" spans="1:4" ht="12.75">
      <c r="A129" s="200"/>
      <c r="B129" s="188" t="s">
        <v>354</v>
      </c>
      <c r="C129" s="200"/>
      <c r="D129" s="185">
        <v>2500</v>
      </c>
    </row>
    <row r="130" spans="1:4" ht="12.75">
      <c r="A130" s="200"/>
      <c r="B130" s="188" t="s">
        <v>322</v>
      </c>
      <c r="C130" s="200"/>
      <c r="D130" s="185">
        <v>459.65</v>
      </c>
    </row>
    <row r="131" spans="1:4" ht="12.75">
      <c r="A131" s="179" t="s">
        <v>323</v>
      </c>
      <c r="B131" s="180" t="s">
        <v>58</v>
      </c>
      <c r="C131" s="179">
        <v>333</v>
      </c>
      <c r="D131" s="181">
        <f>SUM(D132:D137)</f>
        <v>22370.55</v>
      </c>
    </row>
    <row r="132" spans="1:4" ht="12.75">
      <c r="A132" s="187"/>
      <c r="B132" s="188" t="s">
        <v>204</v>
      </c>
      <c r="C132" s="187"/>
      <c r="D132" s="185">
        <f>3000+1200</f>
        <v>4200</v>
      </c>
    </row>
    <row r="133" spans="1:4" ht="12.75">
      <c r="A133" s="182"/>
      <c r="B133" s="188" t="s">
        <v>208</v>
      </c>
      <c r="C133" s="200"/>
      <c r="D133" s="185">
        <f>7000+3000</f>
        <v>10000</v>
      </c>
    </row>
    <row r="134" spans="1:4" ht="12.75">
      <c r="A134" s="182"/>
      <c r="B134" s="188" t="s">
        <v>355</v>
      </c>
      <c r="C134" s="200"/>
      <c r="D134" s="185">
        <f>1870.55+3500</f>
        <v>5370.55</v>
      </c>
    </row>
    <row r="135" spans="1:4" ht="13.5" thickBot="1">
      <c r="A135" s="182"/>
      <c r="B135" s="188" t="s">
        <v>356</v>
      </c>
      <c r="C135" s="200"/>
      <c r="D135" s="185">
        <v>2800</v>
      </c>
    </row>
    <row r="136" spans="1:4" ht="12.75" hidden="1">
      <c r="A136" s="182"/>
      <c r="B136" s="188" t="s">
        <v>324</v>
      </c>
      <c r="C136" s="200"/>
      <c r="D136" s="185"/>
    </row>
    <row r="137" spans="1:4" ht="13.5" hidden="1" thickBot="1">
      <c r="A137" s="182"/>
      <c r="B137" s="188" t="s">
        <v>325</v>
      </c>
      <c r="C137" s="200"/>
      <c r="D137" s="185"/>
    </row>
    <row r="138" spans="1:4" ht="13.5" thickBot="1">
      <c r="A138" s="219"/>
      <c r="B138" s="220" t="s">
        <v>326</v>
      </c>
      <c r="C138" s="221">
        <f>C131+C120+C112+C105+C84+C78+C70+C62+C57+C48+C40+C31+C22+C15+C9+C4+C96</f>
        <v>7078</v>
      </c>
      <c r="D138" s="222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B02-Skarbnik</dc:creator>
  <cp:keywords/>
  <dc:description/>
  <cp:lastModifiedBy>B02-Skarbnik</cp:lastModifiedBy>
  <cp:lastPrinted>2022-02-28T19:04:55Z</cp:lastPrinted>
  <dcterms:created xsi:type="dcterms:W3CDTF">2013-07-09T07:31:36Z</dcterms:created>
  <dcterms:modified xsi:type="dcterms:W3CDTF">2022-02-28T19:08:53Z</dcterms:modified>
  <cp:category/>
  <cp:version/>
  <cp:contentType/>
  <cp:contentStatus/>
</cp:coreProperties>
</file>