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60" firstSheet="4" activeTab="4"/>
  </bookViews>
  <sheets>
    <sheet name="Arkusz2 (2)" sheetId="1" state="hidden" r:id="rId1"/>
    <sheet name="podział środków soł. na 2013(2)" sheetId="2" state="hidden" r:id="rId2"/>
    <sheet name="Podział środków 2020 wersja2" sheetId="3" state="hidden" r:id="rId3"/>
    <sheet name="Podział środków 2020" sheetId="4" state="hidden" r:id="rId4"/>
    <sheet name="Zał nr 10" sheetId="5" r:id="rId5"/>
    <sheet name="Tabela" sheetId="6" state="hidden" r:id="rId6"/>
  </sheets>
  <definedNames>
    <definedName name="Excel_BuiltIn_Print_Titles_1">'Arkusz2 (2)'!$3:$3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3_1">#REF!</definedName>
    <definedName name="Excel_BuiltIn_Print_Titles_3_1_1" localSheetId="2">#REF!</definedName>
    <definedName name="Excel_BuiltIn_Print_Titles_3_1_1">#REF!</definedName>
    <definedName name="Excel_BuiltIn_Print_Titles_5" localSheetId="2">#REF!</definedName>
    <definedName name="Excel_BuiltIn_Print_Titles_5">#REF!</definedName>
    <definedName name="Excel_BuiltIn_Print_Titles_6" localSheetId="2">#REF!</definedName>
    <definedName name="Excel_BuiltIn_Print_Titles_6">#REF!</definedName>
    <definedName name="Excel_BuiltIn_Print_Titles_8" localSheetId="2">#REF!</definedName>
    <definedName name="Excel_BuiltIn_Print_Titles_8">#REF!</definedName>
    <definedName name="_xlnm.Print_Titles" localSheetId="3">'Podział środków 2020'!$4:$4</definedName>
    <definedName name="_xlnm.Print_Titles" localSheetId="2">'Podział środków 2020 wersja2'!$4:$4</definedName>
  </definedNames>
  <calcPr fullCalcOnLoad="1"/>
</workbook>
</file>

<file path=xl/sharedStrings.xml><?xml version="1.0" encoding="utf-8"?>
<sst xmlns="http://schemas.openxmlformats.org/spreadsheetml/2006/main" count="944" uniqueCount="484">
  <si>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</si>
  <si>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</si>
  <si>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</si>
  <si>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</si>
  <si>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</si>
  <si>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</si>
  <si>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</si>
  <si>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</si>
  <si>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</si>
  <si>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</si>
  <si>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</si>
  <si>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</si>
  <si>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</si>
  <si>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</si>
  <si>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</si>
  <si>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</si>
  <si>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</si>
  <si>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</si>
  <si>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</si>
  <si>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</si>
  <si>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</si>
  <si>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</si>
  <si>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</si>
  <si>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</si>
  <si>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</si>
  <si>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</si>
  <si>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</si>
  <si>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</si>
  <si>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</si>
  <si>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</si>
  <si>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</si>
  <si>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</si>
  <si>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</si>
  <si>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</si>
  <si>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</si>
  <si>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</si>
  <si>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</si>
  <si>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</si>
  <si>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</si>
  <si>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</si>
  <si>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</si>
  <si>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</si>
  <si>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</si>
  <si>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</si>
  <si>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</si>
  <si>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</si>
  <si>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</si>
  <si>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</si>
  <si>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</si>
  <si>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</si>
  <si>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</si>
  <si>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</si>
  <si>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</si>
  <si>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</si>
  <si>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</si>
  <si>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</si>
  <si>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</si>
  <si>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</si>
  <si>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</si>
  <si>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</si>
  <si>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</si>
  <si>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</si>
  <si>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</si>
  <si>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</si>
  <si>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</si>
  <si>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</si>
  <si>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</si>
  <si>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</si>
  <si>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</si>
  <si>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</si>
  <si>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</si>
  <si>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</si>
  <si>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</si>
  <si>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</si>
  <si>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</si>
  <si>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</si>
  <si>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</si>
  <si>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</si>
  <si>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</si>
  <si>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</si>
  <si>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</si>
  <si>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</si>
  <si>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</si>
  <si>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</si>
  <si>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</si>
  <si>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</si>
  <si>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</si>
  <si>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</si>
  <si>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</si>
  <si>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</si>
  <si>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</si>
  <si>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</si>
  <si>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</si>
  <si>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</si>
  <si>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</si>
  <si>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</si>
  <si>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</si>
  <si>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</si>
  <si>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</si>
  <si>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</si>
  <si>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</si>
  <si>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</si>
  <si>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</si>
  <si>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</si>
  <si>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</si>
  <si>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</si>
  <si>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</si>
  <si>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</si>
  <si>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</si>
  <si>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</si>
  <si>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</si>
  <si>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</si>
  <si>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</si>
  <si>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</si>
  <si>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</si>
  <si>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</si>
  <si>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</si>
  <si>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</si>
  <si>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</si>
  <si>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</si>
  <si>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</si>
  <si>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</si>
  <si>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</si>
  <si>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</si>
  <si>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</si>
  <si>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</si>
  <si>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</si>
  <si>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</si>
  <si>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</si>
  <si>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</si>
  <si>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</si>
  <si>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</si>
  <si>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</si>
  <si>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</si>
  <si>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</si>
  <si>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</si>
  <si>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</si>
  <si>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</si>
  <si>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</si>
  <si>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</si>
  <si>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</si>
  <si>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</si>
  <si>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</si>
  <si>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</si>
  <si>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</si>
  <si>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</si>
  <si>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</si>
  <si>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</si>
  <si>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</si>
  <si>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</si>
  <si>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</si>
  <si>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</si>
  <si>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</si>
  <si>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</si>
  <si>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Zakup usług dostępu do sieci Internet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</si>
  <si>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</si>
  <si>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</si>
  <si>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</si>
  <si>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</si>
  <si>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</si>
  <si>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</si>
  <si>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</si>
  <si>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</si>
  <si>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</si>
  <si>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92695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</si>
  <si>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</si>
  <si>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</si>
  <si>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</si>
  <si>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</si>
  <si>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</si>
  <si>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4110</t>
  </si>
  <si>
    <t>4120</t>
  </si>
  <si>
    <t>Składki na ubezpieczenia społeczne</t>
  </si>
  <si>
    <t>Składki na Fundusz Pracy</t>
  </si>
  <si>
    <t>Utrzymanie zieleni i ogródka jordanowskiego</t>
  </si>
  <si>
    <t xml:space="preserve">Owczegłowy </t>
  </si>
  <si>
    <t xml:space="preserve">Utrzymanie świetlicy - gospodzarz obiektu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</si>
  <si>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</si>
  <si>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</si>
  <si>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</si>
  <si>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</si>
  <si>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</si>
  <si>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</si>
  <si>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</si>
  <si>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</si>
  <si>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</si>
  <si>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</si>
  <si>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</si>
  <si>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</si>
  <si>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</si>
  <si>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</si>
  <si>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</si>
  <si>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</si>
  <si>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</si>
  <si>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</si>
  <si>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</si>
  <si>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</si>
  <si>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</si>
  <si>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</si>
  <si>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</si>
  <si>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</si>
  <si>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Utrzymanie boiska sportowego i terenu wokół</t>
  </si>
  <si>
    <t xml:space="preserve">Utrzymanie i wyposażenie świetlicy wiejskiej - zakup energii </t>
  </si>
  <si>
    <t xml:space="preserve">Nasza świetlica nośnikiem kultury  - gospodzarz obiektu </t>
  </si>
  <si>
    <t>Nasza świetlica nośnikiem kultury  - zakup materiałów</t>
  </si>
  <si>
    <t>Nasza świetlica nośnikiem kultury  - zakup usług</t>
  </si>
  <si>
    <t>4360</t>
  </si>
  <si>
    <t>Wsparcie działań szkoły w Parkowie</t>
  </si>
  <si>
    <t>90015</t>
  </si>
  <si>
    <t>Oświetlenie ulic, placów i dróg</t>
  </si>
  <si>
    <t>Utrzymanie terenów zieleni wiejskiej</t>
  </si>
  <si>
    <t>Organizacja imprez kulturalno  - sportowych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</si>
  <si>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</si>
  <si>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</si>
  <si>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</si>
  <si>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</si>
  <si>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</si>
  <si>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</si>
  <si>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</si>
  <si>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</si>
  <si>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</si>
  <si>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</si>
  <si>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</si>
  <si>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</si>
  <si>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</si>
  <si>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</si>
  <si>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</si>
  <si>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Budowa zadaszenia - wiaty przed świetlica wiejską</t>
  </si>
  <si>
    <t>Poprawa estetyki terenu przy amfiteatrze wraz  z zagospodarowaniem miejsca rekreacji i sportu - monitoring</t>
  </si>
  <si>
    <t>Zakup kamienia do utwardzenia dróg</t>
  </si>
  <si>
    <t>630</t>
  </si>
  <si>
    <t>Turystyka</t>
  </si>
  <si>
    <t>63095</t>
  </si>
  <si>
    <t>Wyłożenie kostą brukową wjazdu na płytę na plac OSP</t>
  </si>
  <si>
    <t>80104</t>
  </si>
  <si>
    <t>Przedszkola</t>
  </si>
  <si>
    <t>Zakup wyposażenia dla Przedszkola w Parkowie</t>
  </si>
  <si>
    <t>Wsparcie działań Przedszkola w Parkowie</t>
  </si>
  <si>
    <t>Utrzymanie i pielęgnacja wiejskich terenów zielonych</t>
  </si>
  <si>
    <t>Utrzymanie boiska i terenów zielonych - wynagrodzenie dla konserwatora zieleni</t>
  </si>
  <si>
    <t>Utrzymanie i wyposażenie świetlicy</t>
  </si>
  <si>
    <t>Zakup wraz z montażem okien i parapetów w świetlicy wiejskiej</t>
  </si>
  <si>
    <t>Poprawa wizerunku świetlicy i jej obejścia</t>
  </si>
  <si>
    <t>Ruch to zdrowie - utrzymanie i organizacja centrum sportowo-rekreacyjno-wypoczynkowego przy świetlicy wiejskiej</t>
  </si>
  <si>
    <t>Prace pielęgnacyjne na stadionie sportowym w Gościejewie</t>
  </si>
  <si>
    <t>Utrzymanie boiska wiejskiego</t>
  </si>
  <si>
    <t>Organizacja imprez sportowych i dbanie o boiska i place zabaw</t>
  </si>
  <si>
    <t>Kultura i sport - zakup materialów</t>
  </si>
  <si>
    <t>Wynagrodzenie dla palacza i opiekuna świetlicy</t>
  </si>
  <si>
    <t>Zakup kruszywa na utwardzenie dróg gminnych</t>
  </si>
  <si>
    <t>Poprawa estetyki wsi</t>
  </si>
  <si>
    <t>Zakup lamp</t>
  </si>
  <si>
    <t>Równanie dróg</t>
  </si>
  <si>
    <t>bieżące:</t>
  </si>
  <si>
    <t>majątkowe:</t>
  </si>
  <si>
    <t>92601</t>
  </si>
  <si>
    <t>Obiekty sportowe</t>
  </si>
  <si>
    <t>Zakup uslug związanych z utrzymaniem  świetlicy</t>
  </si>
  <si>
    <t>Wyznaczenie terenu pod świetlicę wiejską</t>
  </si>
  <si>
    <t>Wydatki majątkowe</t>
  </si>
  <si>
    <t xml:space="preserve"> Organizacja imprez kulturalnych - 1.250,00 zł
Zakup materiałów na wieniec dożynkowy - 459,93 zł</t>
  </si>
  <si>
    <t>Zakup materiałów na naprawę dróg gminnych</t>
  </si>
  <si>
    <t>92105</t>
  </si>
  <si>
    <t>Pozostałe zakania w zakresie kultury</t>
  </si>
  <si>
    <t>Poprawa estetyki wsi- położenie kostki poz-bruk</t>
  </si>
  <si>
    <t xml:space="preserve">Organizacja imprez kulturalno - sportowych </t>
  </si>
  <si>
    <t>Utwardzenie drogi w Międzylesiu</t>
  </si>
  <si>
    <t>Utrzymanie boiska i terenów zielonych</t>
  </si>
  <si>
    <t>Utrzymanie boiska i terenów zielonych - wynagrodzenie konserwatora zieleni</t>
  </si>
  <si>
    <t>Organizacja imprez kulturalno-wyjazdowych dla dzieci i mieszkańców</t>
  </si>
  <si>
    <t>Zakup wyposażenia dla OSP w Pruścach</t>
  </si>
  <si>
    <t>Utrzymanie świetlicy wiejskiej - wynagrodzenie dla palacza i obsługi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</si>
  <si>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</si>
  <si>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</si>
  <si>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</si>
  <si>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</si>
  <si>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</si>
  <si>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</si>
  <si>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</si>
  <si>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</si>
  <si>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OGÓŁEM CIEŚLE  UCHWAŁA XV/133/2019</t>
  </si>
  <si>
    <t>Budowa placu z kostki brukowej na boisku wiejskim</t>
  </si>
  <si>
    <t>Organizacja obchodów 100 lecia OSP Gościejewo</t>
  </si>
  <si>
    <t>Pielęgnacja parku wiejskiego</t>
  </si>
  <si>
    <t>Zakup kruszywa oraz utwardzenie dróg gminnych</t>
  </si>
  <si>
    <t>Doposażenie placu zabaw i boiska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</si>
  <si>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</si>
  <si>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</si>
  <si>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</si>
  <si>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</si>
  <si>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</si>
  <si>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Wsparcie OSP Budziszewko - zakup materiałów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</si>
  <si>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</si>
  <si>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</si>
  <si>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</si>
  <si>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</si>
  <si>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</si>
  <si>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</si>
  <si>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</si>
  <si>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</si>
  <si>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Utrzymanie boiska i terenów zielonych - wynagrodzenie  konserwatora zieleni</t>
  </si>
  <si>
    <t>90095</t>
  </si>
  <si>
    <t>90026</t>
  </si>
  <si>
    <t>Pozostałe działania związane z gospodarką odpadami</t>
  </si>
  <si>
    <t xml:space="preserve">Zakup lamp </t>
  </si>
  <si>
    <t xml:space="preserve">Jaśniej znaczy bezpieczniej </t>
  </si>
  <si>
    <t>Zakup tablic edukacyjnych o przyrodzie i ekologii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</si>
  <si>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</si>
  <si>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</si>
  <si>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</si>
  <si>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</si>
  <si>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</si>
  <si>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 xml:space="preserve">Nasza świetlica nośnikiem kultury  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</si>
  <si>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</si>
  <si>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</si>
  <si>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</si>
  <si>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</si>
  <si>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</si>
  <si>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</si>
  <si>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Zakup barier uniemożliwijących wjazd na  teren boiska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</si>
  <si>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</si>
  <si>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</si>
  <si>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</si>
  <si>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</si>
  <si>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</si>
  <si>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</si>
  <si>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</si>
  <si>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</si>
  <si>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</si>
  <si>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</si>
  <si>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</si>
  <si>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</si>
  <si>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</si>
  <si>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</si>
  <si>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</si>
  <si>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</si>
  <si>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</si>
  <si>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</si>
  <si>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</si>
  <si>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</si>
  <si>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</si>
  <si>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</si>
  <si>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</si>
  <si>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</si>
  <si>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</si>
  <si>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</si>
  <si>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</si>
  <si>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</si>
  <si>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</si>
  <si>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</si>
  <si>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</si>
  <si>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</si>
  <si>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</si>
  <si>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</si>
  <si>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</si>
  <si>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</si>
  <si>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</si>
  <si>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</si>
  <si>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</si>
  <si>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</si>
  <si>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</si>
  <si>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</si>
  <si>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</si>
  <si>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</si>
  <si>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</si>
  <si>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</si>
  <si>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</si>
  <si>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</si>
  <si>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</si>
  <si>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</si>
  <si>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</si>
  <si>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</si>
  <si>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</si>
  <si>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</si>
  <si>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</si>
  <si>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</si>
  <si>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</si>
  <si>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</si>
  <si>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</si>
  <si>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</si>
  <si>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</si>
  <si>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</si>
  <si>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</si>
  <si>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</si>
  <si>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</si>
  <si>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</si>
  <si>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</si>
  <si>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</si>
  <si>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</si>
  <si>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</si>
  <si>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</si>
  <si>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</si>
  <si>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</si>
  <si>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</si>
  <si>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</si>
  <si>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</si>
  <si>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</si>
  <si>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</si>
  <si>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</si>
  <si>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</si>
  <si>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</si>
  <si>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</si>
  <si>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</si>
  <si>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Opiekun obiektu - świetlica</t>
  </si>
  <si>
    <t>Organizacja imprez kulturalno sportowych - wynagrodzenie za usługę muzyczną</t>
  </si>
  <si>
    <t>2 X Kb=</t>
  </si>
  <si>
    <t>10 x Kb =</t>
  </si>
  <si>
    <t>Propozycja podziału wyodrębnionych środków dla sołectw na 2021 rok</t>
  </si>
  <si>
    <t xml:space="preserve"> SZACUNKOWA WYSOKOŚĆ FUNDUSZU 
(wg wzoru) NA 2021 ROK</t>
  </si>
  <si>
    <t>Maksymalna wysokość funduszu ( do dyspozycji sołectwa)
2021 rok</t>
  </si>
  <si>
    <t>SZACUNKOWA LICZBA MIESZKAŃCÓW
( ze stałym i czasowym zameldowaniem na dzień 30.06.2020r.)</t>
  </si>
  <si>
    <t>Dochody bieżące za 2019 rok</t>
  </si>
  <si>
    <t>Liczba mieszkańców gminy na 31.12.2019 rok</t>
  </si>
  <si>
    <r>
      <t>Lm</t>
    </r>
    <r>
      <rPr>
        <sz val="9"/>
        <rFont val="Arial"/>
        <family val="2"/>
      </rPr>
      <t xml:space="preserve"> (liczba mieszkańców danego sołectwa na 30.06.2020)</t>
    </r>
  </si>
  <si>
    <t>Rogoźno, 02.07.2020</t>
  </si>
  <si>
    <t>Wyodrębnienie nowego sołectwa Cieśle ( Uchwała Rady Miejskiej w Rogoźnie XV/133/2019 z 30.08.2019r.)</t>
  </si>
  <si>
    <t>Rogoźno, 14.07.2020</t>
  </si>
  <si>
    <t>OGÓŁEM Józefinowo UCHWAŁA XXXIII/322/2020</t>
  </si>
  <si>
    <t>Wyodrębnienie nowego sołectwa Józefinowo ( Uchwała Rady Miejskiej w Rogoźnie XXXIII/322/2020 z 24.06.2020r.)</t>
  </si>
  <si>
    <t>stwierdzono nieważność uchwały</t>
  </si>
  <si>
    <t>Ogrodzenie i doposażenie placu zabaw</t>
  </si>
  <si>
    <t>Przedsięwzięcia w ramach funduszu sołeckiego na 2021 rok</t>
  </si>
  <si>
    <t>Zakup witaczy i tablicy informacyjnej</t>
  </si>
  <si>
    <t xml:space="preserve">Razem lepiej i weselej - festyny rodzinne, konkursy
</t>
  </si>
  <si>
    <t>Utwardzenie drogi z wyrównaniem</t>
  </si>
  <si>
    <t>Wynagrodzenie dla palacza i opiekuna śświetlicy</t>
  </si>
  <si>
    <t>Utrzymanie świelicy zakup opału - 3.500,00 zł
Zakup materialów -3.190,56 zł
Zakup markizy tarasowek i 10 szt kompletów piknikowych - 3.000,00 zł</t>
  </si>
  <si>
    <t>Utrzymanie świetlicy wiejskiej - 400,00 zł
Zakup markizy tarasowej i 10 szt kompletów piknikowych - 2.000,00 zł</t>
  </si>
  <si>
    <t>Organizacja imprez kulturalno-sportowych dla dzieci i młodzieży</t>
  </si>
  <si>
    <t xml:space="preserve">Organizacja imprez kulturalno - sportowych dla dzieci i młodzieży -2.000,00 zł
</t>
  </si>
  <si>
    <t>Naprawa i utwardzenie z wyrównaniem dróg gminnych</t>
  </si>
  <si>
    <t>Budowa wiaty etap V oraz rozbudowa i utrzymanie infrastruktury na terenie boiska</t>
  </si>
  <si>
    <t>Zakup materiałów w celu ogrodzenia terenu oddziału przedszkolnego</t>
  </si>
  <si>
    <t>Postawienie drewnianej i zadaszonej wiaty na boisku sportowym</t>
  </si>
  <si>
    <t>4220</t>
  </si>
  <si>
    <t>Zakup środków żywnościowych</t>
  </si>
  <si>
    <t>1. Remont drogi gminnej w Szczytnie - 5.000,00 zł,
2. Próg spowalniający przy drodze gminnej w Słomowie - 6.100,00 zł</t>
  </si>
  <si>
    <t>Ułożenie kostki przy przystanku szkolnym</t>
  </si>
  <si>
    <t>Budowa wiaty drewnianej przy Sali wiejskiej</t>
  </si>
  <si>
    <t>Wymiana i uzupełnienie isteniejącego placu zabaw o nowe elementy</t>
  </si>
  <si>
    <t xml:space="preserve">Wspacie Grupy Gospodyń Wiejskich </t>
  </si>
  <si>
    <t>Organizowanie imprez kulturalno –  integracyjnych, propagowanie wydarzeń kulturalnych</t>
  </si>
  <si>
    <t>80101</t>
  </si>
  <si>
    <t>Szkoły podstawowe</t>
  </si>
  <si>
    <t>Zakup usług remontowych</t>
  </si>
  <si>
    <t>Montaż kamery monitoringu - wsparcie Szkoły Podstawowej w Budziszewku</t>
  </si>
  <si>
    <t>Koszty reprezentacyjne sołectwa - zakup kwiatów i wieńca dożynkowego</t>
  </si>
  <si>
    <t>Utrzymanie boiska sportowego i plaży wiejskiej</t>
  </si>
  <si>
    <t xml:space="preserve">Utrzymanie boiska sportowego i plaży wiejskiej </t>
  </si>
  <si>
    <t>Budowa szatni na boisku wiejskim</t>
  </si>
  <si>
    <t>Budowa wiaty biesiadnej w Dziewczej Strudze</t>
  </si>
  <si>
    <t>Wielkopolska Odnowa Wsi - pięknieje wielkopolska wieś - budowa placu zabaw i otwartej siłowni przy Sali wiejskiej</t>
  </si>
  <si>
    <t>1. Zakup wyposażenia i bieżące utrzymanie  sali wiejskiej - 2.000,00 zł,
2. Poprawa estetyki i bezpieczeństwa terenu przy amfiteatrze -ocieplenie i  pomalowanie ściany wejściowej budynku Sali wiejskiej - 6.309,18 zł</t>
  </si>
  <si>
    <t xml:space="preserve">Organizacja imprez kulturalno – sportowych , wieniec dożynkowy
</t>
  </si>
  <si>
    <t xml:space="preserve">Organizacja imprez kulturalno – sportowych </t>
  </si>
  <si>
    <t>1. Prace pielęgnacyjne na stadionie sportowym Gościejewo - 2.000,00 zł, 
2. Poprawa estetyki i bezpieczeństwa w pomieszczeniach szatni na stadionie sportowym - 1.500,00 zł</t>
  </si>
  <si>
    <t>Zakup gabloty ekspozycyjnej</t>
  </si>
  <si>
    <t>Opłaty zwiazane z działaniem monitoringu w świetlicy oraz przy budynku gospodarczym</t>
  </si>
  <si>
    <t xml:space="preserve">Organizacja imprez o charakterze kulturalno-sportowym </t>
  </si>
  <si>
    <t>1. Utrzymanie porządku terenów zielonych i boiska na terenie sołectwa - 3.000,00 zł
2. Zakup koszy na odpady - 3.100,00 zł</t>
  </si>
  <si>
    <t xml:space="preserve">Utrzymanie bieżące świetlicy wiejskiej - zakup lamp do świetlicy, farb do odmalowania oraz uzupełnienie wyposażenia kuchni
</t>
  </si>
  <si>
    <t>Utrzymanie boiska sportowego - 1.500,00 zł
Doposażenie boiska - 2.000,00 zł</t>
  </si>
  <si>
    <t xml:space="preserve">Utrzymanie świetlicy i terenu wokół oraz wyposażenie kuchni
</t>
  </si>
  <si>
    <t>Adaptacja pomieszczenia po sklepie na magazyn i toalety</t>
  </si>
  <si>
    <t>Doposażenie świetlicy - wykonanie mebli</t>
  </si>
  <si>
    <t>Imprezy kulturalne dla dzieci, młodzieży i mieszkańców sołectwa</t>
  </si>
  <si>
    <t>1. Zakup wyposażenia do świetlicy wiejskiej - 4.800,00 zł,
2. Budowa wiaty drewnianej przy Sali wiejskiej - 4.500,00 zł</t>
  </si>
  <si>
    <t xml:space="preserve">Organizacja imprez kulturalnych i oświatowych </t>
  </si>
  <si>
    <t>Utrzymanie Sali Centrum Integracji wywóz nieczystości</t>
  </si>
  <si>
    <t>Kultura fizyczna i sport - zestawy do ćwiczeń na wolnym powietrzu</t>
  </si>
  <si>
    <t>Utrzymanie świetlicy wiejskiej - doposażenie świetlicy wiejskiej</t>
  </si>
  <si>
    <t>Dzierżawa  lub zakup gruntu na potrzeby sołectwa</t>
  </si>
  <si>
    <t>Wyposażenie namiotu przeznaczonego na integrację</t>
  </si>
  <si>
    <t>Organizacja imprez integracyjnych, festynów i konkursów</t>
  </si>
  <si>
    <t>1. Organizacja imprez integracyjnych, festynów, konkursów - 3.000,00 zł,
2. Wynajem Sali konferencyjnej na potrzeby zebrań Rady Sołeckiej i zebrań wiejskich - 1.000,00 zł</t>
  </si>
  <si>
    <t>Równanie dróg  oraz zakup kruszywa wraz z utwardzeniem drogi</t>
  </si>
  <si>
    <t>Gruntowny remont pomieszczeń magazynowych i ubikacji - strażnica - 18.000,00 oraz położenie więżby dachowej w ramach remontu pomieszczeń magazynowych i ubikacji - 8.000,00</t>
  </si>
  <si>
    <t>Zakup materiałów budowlanych do wyposażenia nowego obiektu dla sołectwa Józefinowo</t>
  </si>
  <si>
    <t>Organizacja imprez kulturalno – sportowych</t>
  </si>
  <si>
    <t>Załącznik nr 10 do projektu Uchwały nr ………………..</t>
  </si>
  <si>
    <t>Rady Miejskiej w Rogoźnie</t>
  </si>
  <si>
    <t>w sprawie uchwały budżetowej Gminy na 2021 rok</t>
  </si>
  <si>
    <t xml:space="preserve">Plan </t>
  </si>
  <si>
    <t>1. Zakup wyposażenia i bieżące utrzymanie  sali wiejskiej - 2.000,00zł  
2. Poprawa estetyki i bezpieczeństwa terenu przy amfiteatrze -ocieplenie i  pomalowanie ściany wejściowej budynku Sali wiejskiej - 4.000,00 zł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</si>
</sst>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#,##0.00_ ;[Red]\-#,##0.00\ 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b/>
      <sz val="8.25"/>
      <color indexed="8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6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6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vertical="top"/>
    </xf>
    <xf numFmtId="0" fontId="60" fillId="0" borderId="0" xfId="0" applyFont="1" applyAlignment="1">
      <alignment/>
    </xf>
    <xf numFmtId="49" fontId="6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/>
    </xf>
    <xf numFmtId="49" fontId="61" fillId="19" borderId="21" xfId="0" applyNumberFormat="1" applyFont="1" applyFill="1" applyBorder="1" applyAlignment="1" applyProtection="1">
      <alignment horizontal="left" vertical="center"/>
      <protection locked="0"/>
    </xf>
    <xf numFmtId="49" fontId="3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2" xfId="0" applyNumberFormat="1" applyFont="1" applyFill="1" applyBorder="1" applyAlignment="1" applyProtection="1">
      <alignment vertical="center" wrapText="1"/>
      <protection locked="0"/>
    </xf>
    <xf numFmtId="49" fontId="36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58" fillId="19" borderId="20" xfId="0" applyNumberFormat="1" applyFont="1" applyFill="1" applyBorder="1" applyAlignment="1" applyProtection="1">
      <alignment vertical="center" wrapText="1"/>
      <protection locked="0"/>
    </xf>
    <xf numFmtId="49" fontId="6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21" xfId="0" applyNumberFormat="1" applyFont="1" applyFill="1" applyBorder="1" applyAlignment="1" applyProtection="1">
      <alignment horizontal="left" vertical="center" wrapText="1"/>
      <protection locked="0"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2" xfId="0" applyNumberFormat="1" applyFont="1" applyFill="1" applyBorder="1" applyAlignment="1" applyProtection="1">
      <alignment vertical="center" wrapText="1"/>
      <protection locked="0"/>
    </xf>
    <xf numFmtId="49" fontId="6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1" xfId="0" applyNumberFormat="1" applyFont="1" applyFill="1" applyBorder="1" applyAlignment="1" applyProtection="1">
      <alignment horizontal="left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1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36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62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62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62" fillId="25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0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57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2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Alignment="1">
      <alignment/>
    </xf>
    <xf numFmtId="168" fontId="19" fillId="0" borderId="0" xfId="0" applyNumberFormat="1" applyFont="1" applyBorder="1" applyAlignment="1">
      <alignment horizontal="center" vertical="center"/>
    </xf>
    <xf numFmtId="168" fontId="18" fillId="2" borderId="10" xfId="0" applyNumberFormat="1" applyFont="1" applyFill="1" applyBorder="1" applyAlignment="1">
      <alignment horizontal="center" vertical="top" wrapText="1"/>
    </xf>
    <xf numFmtId="168" fontId="20" fillId="0" borderId="0" xfId="0" applyNumberFormat="1" applyFont="1" applyFill="1" applyBorder="1" applyAlignment="1">
      <alignment vertical="center"/>
    </xf>
    <xf numFmtId="168" fontId="0" fillId="0" borderId="0" xfId="0" applyNumberFormat="1" applyAlignment="1">
      <alignment/>
    </xf>
    <xf numFmtId="168" fontId="23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8" fontId="30" fillId="0" borderId="0" xfId="0" applyNumberFormat="1" applyFont="1" applyBorder="1" applyAlignment="1">
      <alignment vertical="center"/>
    </xf>
    <xf numFmtId="168" fontId="30" fillId="0" borderId="11" xfId="0" applyNumberFormat="1" applyFont="1" applyBorder="1" applyAlignment="1">
      <alignment vertical="center"/>
    </xf>
    <xf numFmtId="168" fontId="28" fillId="0" borderId="0" xfId="0" applyNumberFormat="1" applyFont="1" applyBorder="1" applyAlignment="1">
      <alignment wrapText="1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9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2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9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28" xfId="0" applyNumberFormat="1" applyFont="1" applyFill="1" applyBorder="1" applyAlignment="1" applyProtection="1">
      <alignment horizontal="left" vertical="center" wrapText="1"/>
      <protection locked="0"/>
    </xf>
    <xf numFmtId="49" fontId="66" fillId="23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6" fillId="23" borderId="38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39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3" xfId="0" applyNumberFormat="1" applyFont="1" applyFill="1" applyBorder="1" applyAlignment="1" applyProtection="1">
      <alignment vertical="center" wrapText="1"/>
      <protection locked="0"/>
    </xf>
    <xf numFmtId="49" fontId="62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25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26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3" xfId="0" applyNumberFormat="1" applyFont="1" applyFill="1" applyBorder="1" applyAlignment="1" applyProtection="1">
      <alignment horizontal="left" vertical="center" wrapText="1"/>
      <protection locked="0"/>
    </xf>
    <xf numFmtId="49" fontId="64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9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22" xfId="0" applyFont="1" applyBorder="1" applyAlignment="1">
      <alignment/>
    </xf>
    <xf numFmtId="49" fontId="62" fillId="20" borderId="29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2" xfId="54" applyFont="1" applyBorder="1" applyAlignment="1">
      <alignment horizontal="center" vertical="center"/>
      <protection/>
    </xf>
    <xf numFmtId="0" fontId="28" fillId="0" borderId="22" xfId="54" applyFont="1" applyBorder="1" applyAlignment="1">
      <alignment vertical="center"/>
      <protection/>
    </xf>
    <xf numFmtId="0" fontId="38" fillId="0" borderId="22" xfId="54" applyFont="1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/>
      <protection/>
    </xf>
    <xf numFmtId="0" fontId="28" fillId="0" borderId="30" xfId="54" applyFont="1" applyBorder="1">
      <alignment/>
      <protection/>
    </xf>
    <xf numFmtId="4" fontId="28" fillId="0" borderId="30" xfId="54" applyNumberFormat="1" applyFont="1" applyBorder="1">
      <alignment/>
      <protection/>
    </xf>
    <xf numFmtId="0" fontId="0" fillId="0" borderId="33" xfId="54" applyBorder="1" applyAlignment="1">
      <alignment horizontal="center"/>
      <protection/>
    </xf>
    <xf numFmtId="0" fontId="39" fillId="0" borderId="33" xfId="54" applyFont="1" applyBorder="1" applyAlignment="1">
      <alignment vertical="top" wrapText="1"/>
      <protection/>
    </xf>
    <xf numFmtId="0" fontId="18" fillId="0" borderId="33" xfId="54" applyFont="1" applyBorder="1">
      <alignment/>
      <protection/>
    </xf>
    <xf numFmtId="4" fontId="39" fillId="0" borderId="33" xfId="54" applyNumberFormat="1" applyFont="1" applyBorder="1" applyAlignment="1">
      <alignment vertical="top"/>
      <protection/>
    </xf>
    <xf numFmtId="4" fontId="39" fillId="0" borderId="33" xfId="54" applyNumberFormat="1" applyFont="1" applyBorder="1" applyAlignment="1">
      <alignment vertical="center"/>
      <protection/>
    </xf>
    <xf numFmtId="0" fontId="18" fillId="0" borderId="33" xfId="54" applyFont="1" applyBorder="1" applyAlignment="1">
      <alignment horizontal="center"/>
      <protection/>
    </xf>
    <xf numFmtId="0" fontId="39" fillId="0" borderId="33" xfId="54" applyFont="1" applyBorder="1" applyAlignment="1">
      <alignment wrapText="1"/>
      <protection/>
    </xf>
    <xf numFmtId="4" fontId="39" fillId="0" borderId="33" xfId="54" applyNumberFormat="1" applyFont="1" applyBorder="1">
      <alignment/>
      <protection/>
    </xf>
    <xf numFmtId="0" fontId="39" fillId="0" borderId="33" xfId="54" applyFont="1" applyBorder="1">
      <alignment/>
      <protection/>
    </xf>
    <xf numFmtId="0" fontId="28" fillId="0" borderId="30" xfId="54" applyFont="1" applyBorder="1" applyAlignment="1">
      <alignment wrapText="1"/>
      <protection/>
    </xf>
    <xf numFmtId="4" fontId="28" fillId="0" borderId="30" xfId="54" applyNumberFormat="1" applyFont="1" applyBorder="1" applyAlignment="1">
      <alignment vertical="center"/>
      <protection/>
    </xf>
    <xf numFmtId="0" fontId="39" fillId="0" borderId="33" xfId="54" applyFont="1" applyBorder="1" applyAlignment="1">
      <alignment vertical="top"/>
      <protection/>
    </xf>
    <xf numFmtId="0" fontId="39" fillId="0" borderId="0" xfId="53" applyFont="1" applyAlignment="1">
      <alignment wrapText="1"/>
      <protection/>
    </xf>
    <xf numFmtId="4" fontId="23" fillId="0" borderId="33" xfId="54" applyNumberFormat="1" applyFont="1" applyBorder="1">
      <alignment/>
      <protection/>
    </xf>
    <xf numFmtId="4" fontId="39" fillId="0" borderId="33" xfId="54" applyNumberFormat="1" applyFont="1" applyBorder="1" applyAlignment="1">
      <alignment vertical="top" wrapText="1"/>
      <protection/>
    </xf>
    <xf numFmtId="0" fontId="0" fillId="0" borderId="23" xfId="54" applyBorder="1" applyAlignment="1">
      <alignment horizontal="center"/>
      <protection/>
    </xf>
    <xf numFmtId="0" fontId="39" fillId="0" borderId="23" xfId="54" applyFont="1" applyBorder="1" applyAlignment="1">
      <alignment vertical="top"/>
      <protection/>
    </xf>
    <xf numFmtId="4" fontId="39" fillId="0" borderId="23" xfId="54" applyNumberFormat="1" applyFont="1" applyBorder="1" applyAlignment="1">
      <alignment vertical="top"/>
      <protection/>
    </xf>
    <xf numFmtId="0" fontId="39" fillId="0" borderId="33" xfId="54" applyFont="1" applyBorder="1" applyAlignment="1">
      <alignment horizontal="center"/>
      <protection/>
    </xf>
    <xf numFmtId="0" fontId="39" fillId="0" borderId="23" xfId="54" applyFont="1" applyBorder="1">
      <alignment/>
      <protection/>
    </xf>
    <xf numFmtId="0" fontId="40" fillId="0" borderId="23" xfId="54" applyFont="1" applyBorder="1" applyAlignment="1">
      <alignment horizontal="center"/>
      <protection/>
    </xf>
    <xf numFmtId="0" fontId="39" fillId="0" borderId="23" xfId="54" applyFont="1" applyBorder="1" applyAlignment="1">
      <alignment wrapText="1"/>
      <protection/>
    </xf>
    <xf numFmtId="0" fontId="39" fillId="0" borderId="23" xfId="54" applyFont="1" applyBorder="1" applyAlignment="1">
      <alignment horizontal="center"/>
      <protection/>
    </xf>
    <xf numFmtId="4" fontId="23" fillId="0" borderId="33" xfId="54" applyNumberFormat="1" applyFont="1" applyBorder="1" applyAlignment="1">
      <alignment vertical="top"/>
      <protection/>
    </xf>
    <xf numFmtId="0" fontId="39" fillId="0" borderId="33" xfId="55" applyFont="1" applyBorder="1" applyAlignment="1">
      <alignment vertical="top" wrapText="1"/>
      <protection/>
    </xf>
    <xf numFmtId="0" fontId="0" fillId="0" borderId="33" xfId="54" applyBorder="1" applyAlignment="1">
      <alignment horizontal="center" vertical="top"/>
      <protection/>
    </xf>
    <xf numFmtId="0" fontId="39" fillId="0" borderId="33" xfId="54" applyFont="1" applyBorder="1" applyAlignment="1">
      <alignment horizontal="center" vertical="top"/>
      <protection/>
    </xf>
    <xf numFmtId="0" fontId="0" fillId="0" borderId="33" xfId="54" applyFont="1" applyBorder="1" applyAlignment="1">
      <alignment horizontal="center" vertical="top"/>
      <protection/>
    </xf>
    <xf numFmtId="0" fontId="0" fillId="0" borderId="23" xfId="54" applyBorder="1" applyAlignment="1">
      <alignment horizontal="center" vertical="top"/>
      <protection/>
    </xf>
    <xf numFmtId="0" fontId="39" fillId="0" borderId="23" xfId="54" applyFont="1" applyBorder="1" applyAlignment="1">
      <alignment vertical="top" wrapText="1"/>
      <protection/>
    </xf>
    <xf numFmtId="0" fontId="39" fillId="0" borderId="23" xfId="54" applyFont="1" applyBorder="1" applyAlignment="1">
      <alignment horizontal="center" vertical="top"/>
      <protection/>
    </xf>
    <xf numFmtId="0" fontId="23" fillId="0" borderId="33" xfId="54" applyFont="1" applyBorder="1" applyAlignment="1">
      <alignment vertical="top" wrapText="1"/>
      <protection/>
    </xf>
    <xf numFmtId="0" fontId="39" fillId="0" borderId="0" xfId="53" applyFont="1">
      <alignment/>
      <protection/>
    </xf>
    <xf numFmtId="0" fontId="23" fillId="0" borderId="38" xfId="53" applyFont="1" applyBorder="1">
      <alignment/>
      <protection/>
    </xf>
    <xf numFmtId="4" fontId="23" fillId="0" borderId="33" xfId="53" applyNumberFormat="1" applyFont="1" applyBorder="1">
      <alignment/>
      <protection/>
    </xf>
    <xf numFmtId="0" fontId="23" fillId="0" borderId="33" xfId="54" applyFont="1" applyBorder="1" applyAlignment="1">
      <alignment horizontal="center"/>
      <protection/>
    </xf>
    <xf numFmtId="0" fontId="23" fillId="0" borderId="33" xfId="54" applyFont="1" applyBorder="1" applyAlignment="1">
      <alignment horizontal="center" vertical="top"/>
      <protection/>
    </xf>
    <xf numFmtId="0" fontId="32" fillId="0" borderId="41" xfId="54" applyFont="1" applyBorder="1" applyAlignment="1">
      <alignment horizontal="center"/>
      <protection/>
    </xf>
    <xf numFmtId="0" fontId="42" fillId="0" borderId="41" xfId="54" applyFont="1" applyBorder="1" applyAlignment="1">
      <alignment horizontal="right"/>
      <protection/>
    </xf>
    <xf numFmtId="0" fontId="42" fillId="0" borderId="41" xfId="54" applyFont="1" applyBorder="1" applyAlignment="1">
      <alignment horizontal="center"/>
      <protection/>
    </xf>
    <xf numFmtId="4" fontId="42" fillId="0" borderId="41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5" fillId="0" borderId="0" xfId="54" applyFont="1" applyBorder="1" applyAlignment="1">
      <alignment vertical="center" wrapText="1"/>
      <protection/>
    </xf>
    <xf numFmtId="0" fontId="28" fillId="0" borderId="33" xfId="54" applyFont="1" applyBorder="1" applyAlignment="1">
      <alignment horizontal="center"/>
      <protection/>
    </xf>
    <xf numFmtId="0" fontId="63" fillId="0" borderId="10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3" fillId="2" borderId="10" xfId="0" applyNumberFormat="1" applyFont="1" applyFill="1" applyBorder="1" applyAlignment="1">
      <alignment horizontal="center" vertical="center"/>
    </xf>
    <xf numFmtId="4" fontId="21" fillId="0" borderId="42" xfId="0" applyNumberFormat="1" applyFont="1" applyBorder="1" applyAlignment="1">
      <alignment vertical="center" wrapText="1"/>
    </xf>
    <xf numFmtId="4" fontId="21" fillId="0" borderId="43" xfId="0" applyNumberFormat="1" applyFont="1" applyBorder="1" applyAlignment="1">
      <alignment vertical="center" wrapText="1"/>
    </xf>
    <xf numFmtId="0" fontId="63" fillId="2" borderId="12" xfId="0" applyFont="1" applyFill="1" applyBorder="1" applyAlignment="1">
      <alignment horizontal="center" vertical="center"/>
    </xf>
    <xf numFmtId="4" fontId="19" fillId="27" borderId="22" xfId="0" applyNumberFormat="1" applyFont="1" applyFill="1" applyBorder="1" applyAlignment="1">
      <alignment vertical="center" wrapText="1"/>
    </xf>
    <xf numFmtId="166" fontId="68" fillId="0" borderId="0" xfId="0" applyNumberFormat="1" applyFont="1" applyAlignment="1">
      <alignment/>
    </xf>
    <xf numFmtId="49" fontId="61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61" fillId="26" borderId="22" xfId="0" applyNumberFormat="1" applyFont="1" applyFill="1" applyBorder="1" applyAlignment="1" applyProtection="1">
      <alignment horizontal="center" vertical="center" wrapText="1"/>
      <protection locked="0"/>
    </xf>
    <xf numFmtId="166" fontId="60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2" xfId="0" applyFont="1" applyBorder="1" applyAlignment="1">
      <alignment horizontal="right"/>
    </xf>
    <xf numFmtId="4" fontId="62" fillId="24" borderId="29" xfId="0" applyNumberFormat="1" applyFont="1" applyFill="1" applyBorder="1" applyAlignment="1" applyProtection="1">
      <alignment horizontal="right" vertical="center" wrapText="1"/>
      <protection locked="0"/>
    </xf>
    <xf numFmtId="4" fontId="62" fillId="25" borderId="20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21" borderId="21" xfId="0" applyNumberFormat="1" applyFont="1" applyFill="1" applyBorder="1" applyAlignment="1" applyProtection="1">
      <alignment horizontal="right" vertical="center" wrapText="1"/>
      <protection locked="0"/>
    </xf>
    <xf numFmtId="4" fontId="37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25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22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5" xfId="0" applyNumberFormat="1" applyFont="1" applyFill="1" applyBorder="1" applyAlignment="1" applyProtection="1">
      <alignment horizontal="right" vertical="center" wrapText="1"/>
      <protection locked="0"/>
    </xf>
    <xf numFmtId="4" fontId="62" fillId="21" borderId="21" xfId="0" applyNumberFormat="1" applyFont="1" applyFill="1" applyBorder="1" applyAlignment="1" applyProtection="1">
      <alignment horizontal="right" vertical="center" wrapText="1"/>
      <protection locked="0"/>
    </xf>
    <xf numFmtId="4" fontId="62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7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44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28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59" fillId="0" borderId="0" xfId="0" applyNumberFormat="1" applyFont="1" applyBorder="1" applyAlignment="1">
      <alignment vertical="top"/>
    </xf>
    <xf numFmtId="4" fontId="70" fillId="19" borderId="35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22" xfId="0" applyNumberFormat="1" applyFont="1" applyBorder="1" applyAlignment="1">
      <alignment/>
    </xf>
    <xf numFmtId="0" fontId="68" fillId="0" borderId="23" xfId="0" applyFont="1" applyBorder="1" applyAlignment="1">
      <alignment horizontal="right"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43" fillId="19" borderId="39" xfId="0" applyNumberFormat="1" applyFont="1" applyFill="1" applyBorder="1" applyAlignment="1" applyProtection="1">
      <alignment horizontal="center" vertical="center" wrapText="1"/>
      <protection locked="0"/>
    </xf>
    <xf numFmtId="166" fontId="43" fillId="19" borderId="3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4" fontId="20" fillId="29" borderId="42" xfId="0" applyNumberFormat="1" applyFont="1" applyFill="1" applyBorder="1" applyAlignment="1">
      <alignment horizontal="center" vertical="center"/>
    </xf>
    <xf numFmtId="4" fontId="20" fillId="29" borderId="4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79" fontId="2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70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0" borderId="46" xfId="0" applyFont="1" applyBorder="1" applyAlignment="1">
      <alignment horizontal="left" wrapText="1"/>
    </xf>
    <xf numFmtId="0" fontId="21" fillId="0" borderId="46" xfId="0" applyFont="1" applyBorder="1" applyAlignment="1">
      <alignment horizontal="left" wrapText="1"/>
    </xf>
    <xf numFmtId="49" fontId="58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0" xfId="0" applyNumberFormat="1" applyFont="1" applyFill="1" applyBorder="1" applyAlignment="1" applyProtection="1">
      <alignment horizontal="center" vertical="center" wrapText="1"/>
      <protection locked="0"/>
    </xf>
    <xf numFmtId="166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49" fontId="57" fillId="19" borderId="47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2" fillId="28" borderId="47" xfId="0" applyNumberFormat="1" applyFont="1" applyFill="1" applyBorder="1" applyAlignment="1" applyProtection="1">
      <alignment horizontal="center" vertical="center" wrapText="1"/>
      <protection locked="0"/>
    </xf>
    <xf numFmtId="49" fontId="62" fillId="28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48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4" applyFont="1" applyBorder="1" applyAlignment="1">
      <alignment horizontal="right"/>
      <protection/>
    </xf>
    <xf numFmtId="0" fontId="35" fillId="0" borderId="46" xfId="54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06" t="s">
        <v>0</v>
      </c>
      <c r="B1" s="306"/>
      <c r="C1" s="306"/>
      <c r="D1" s="306"/>
      <c r="E1" s="306"/>
      <c r="F1" s="306"/>
      <c r="G1" s="306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07" t="s">
        <v>11</v>
      </c>
      <c r="B7" s="307"/>
      <c r="C7" s="10">
        <v>199</v>
      </c>
      <c r="D7" s="308"/>
      <c r="E7" s="309"/>
      <c r="F7" s="310"/>
      <c r="G7" s="311"/>
    </row>
    <row r="8" spans="1:7" ht="12.75" customHeight="1">
      <c r="A8" s="307" t="s">
        <v>12</v>
      </c>
      <c r="B8" s="307"/>
      <c r="C8" s="9">
        <v>84</v>
      </c>
      <c r="D8" s="308"/>
      <c r="E8" s="309"/>
      <c r="F8" s="310"/>
      <c r="G8" s="311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07" t="s">
        <v>14</v>
      </c>
      <c r="B10" s="307"/>
      <c r="C10" s="9">
        <v>664</v>
      </c>
      <c r="D10" s="310"/>
      <c r="E10" s="310"/>
      <c r="F10" s="310"/>
      <c r="G10" s="311"/>
    </row>
    <row r="11" spans="1:7" ht="12.75" customHeight="1">
      <c r="A11" s="307" t="s">
        <v>15</v>
      </c>
      <c r="B11" s="307"/>
      <c r="C11" s="9">
        <v>0</v>
      </c>
      <c r="D11" s="310"/>
      <c r="E11" s="310"/>
      <c r="F11" s="310"/>
      <c r="G11" s="311"/>
    </row>
    <row r="12" spans="1:7" ht="12.75" customHeight="1">
      <c r="A12" s="307" t="s">
        <v>16</v>
      </c>
      <c r="B12" s="307"/>
      <c r="C12" s="9">
        <v>-1</v>
      </c>
      <c r="D12" s="310"/>
      <c r="E12" s="310"/>
      <c r="F12" s="310"/>
      <c r="G12" s="311"/>
    </row>
    <row r="13" spans="1:7" ht="12.75" customHeight="1">
      <c r="A13" s="307" t="s">
        <v>17</v>
      </c>
      <c r="B13" s="307"/>
      <c r="C13" s="9">
        <v>-5</v>
      </c>
      <c r="D13" s="310"/>
      <c r="E13" s="310"/>
      <c r="F13" s="310"/>
      <c r="G13" s="311"/>
    </row>
    <row r="14" spans="1:7" ht="12.75" customHeight="1">
      <c r="A14" s="307" t="s">
        <v>18</v>
      </c>
      <c r="B14" s="307"/>
      <c r="C14" s="9">
        <v>-5</v>
      </c>
      <c r="D14" s="310"/>
      <c r="E14" s="310"/>
      <c r="F14" s="310"/>
      <c r="G14" s="311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07" t="s">
        <v>20</v>
      </c>
      <c r="B16" s="307"/>
      <c r="C16" s="9">
        <v>229</v>
      </c>
      <c r="D16" s="310"/>
      <c r="E16" s="310"/>
      <c r="F16" s="310"/>
      <c r="G16" s="311"/>
    </row>
    <row r="17" spans="1:7" ht="12.75" customHeight="1">
      <c r="A17" s="307" t="s">
        <v>21</v>
      </c>
      <c r="B17" s="307"/>
      <c r="C17" s="9">
        <v>53</v>
      </c>
      <c r="D17" s="310"/>
      <c r="E17" s="310"/>
      <c r="F17" s="310"/>
      <c r="G17" s="311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07" t="s">
        <v>23</v>
      </c>
      <c r="B19" s="307"/>
      <c r="C19" s="9">
        <v>118</v>
      </c>
      <c r="D19" s="310"/>
      <c r="E19" s="310"/>
      <c r="F19" s="310"/>
      <c r="G19" s="311"/>
    </row>
    <row r="20" spans="1:7" ht="12.75" customHeight="1">
      <c r="A20" s="307" t="s">
        <v>24</v>
      </c>
      <c r="B20" s="307"/>
      <c r="C20" s="9">
        <v>11</v>
      </c>
      <c r="D20" s="310"/>
      <c r="E20" s="310"/>
      <c r="F20" s="310"/>
      <c r="G20" s="311"/>
    </row>
    <row r="21" spans="1:7" ht="12.75" customHeight="1">
      <c r="A21" s="307" t="s">
        <v>25</v>
      </c>
      <c r="B21" s="307"/>
      <c r="C21" s="9">
        <f>18+8</f>
        <v>26</v>
      </c>
      <c r="D21" s="310"/>
      <c r="E21" s="310"/>
      <c r="F21" s="310"/>
      <c r="G21" s="311"/>
    </row>
    <row r="22" spans="1:7" ht="12.75" customHeight="1">
      <c r="A22" s="307" t="s">
        <v>26</v>
      </c>
      <c r="B22" s="307"/>
      <c r="C22" s="9">
        <v>12</v>
      </c>
      <c r="D22" s="310"/>
      <c r="E22" s="310"/>
      <c r="F22" s="310"/>
      <c r="G22" s="311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07" t="s">
        <v>28</v>
      </c>
      <c r="B24" s="307"/>
      <c r="C24" s="9">
        <v>76</v>
      </c>
      <c r="D24" s="310"/>
      <c r="E24" s="310"/>
      <c r="F24" s="310"/>
      <c r="G24" s="311"/>
    </row>
    <row r="25" spans="1:7" ht="12.75" customHeight="1">
      <c r="A25" s="307" t="s">
        <v>29</v>
      </c>
      <c r="B25" s="307"/>
      <c r="C25" s="9">
        <v>198</v>
      </c>
      <c r="D25" s="310"/>
      <c r="E25" s="310"/>
      <c r="F25" s="310"/>
      <c r="G25" s="311"/>
    </row>
    <row r="26" spans="1:7" ht="12.75" customHeight="1">
      <c r="A26" s="307" t="s">
        <v>30</v>
      </c>
      <c r="B26" s="307"/>
      <c r="C26" s="9">
        <v>134</v>
      </c>
      <c r="D26" s="310"/>
      <c r="E26" s="310"/>
      <c r="F26" s="310"/>
      <c r="G26" s="311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07" t="s">
        <v>34</v>
      </c>
      <c r="B30" s="307"/>
      <c r="C30" s="9">
        <v>250</v>
      </c>
      <c r="D30" s="311"/>
      <c r="E30" s="311"/>
      <c r="F30" s="311"/>
      <c r="G30" s="311"/>
    </row>
    <row r="31" spans="1:7" ht="12.75">
      <c r="A31" s="307" t="s">
        <v>35</v>
      </c>
      <c r="B31" s="307"/>
      <c r="C31" s="9">
        <v>149</v>
      </c>
      <c r="D31" s="311"/>
      <c r="E31" s="311"/>
      <c r="F31" s="311"/>
      <c r="G31" s="311"/>
    </row>
    <row r="32" spans="1:7" ht="12.75">
      <c r="A32" s="307" t="s">
        <v>36</v>
      </c>
      <c r="B32" s="307"/>
      <c r="C32" s="9">
        <v>14</v>
      </c>
      <c r="D32" s="311"/>
      <c r="E32" s="311"/>
      <c r="F32" s="311"/>
      <c r="G32" s="311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07" t="s">
        <v>38</v>
      </c>
      <c r="B34" s="307"/>
      <c r="C34" s="9">
        <v>238</v>
      </c>
      <c r="D34" s="310"/>
      <c r="E34" s="310"/>
      <c r="F34" s="310"/>
      <c r="G34" s="311"/>
    </row>
    <row r="35" spans="1:7" ht="12.75">
      <c r="A35" s="307" t="s">
        <v>25</v>
      </c>
      <c r="B35" s="307"/>
      <c r="C35" s="9">
        <f>-(18+8)</f>
        <v>-26</v>
      </c>
      <c r="D35" s="310"/>
      <c r="E35" s="310"/>
      <c r="F35" s="310"/>
      <c r="G35" s="311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07" t="s">
        <v>40</v>
      </c>
      <c r="B37" s="307"/>
      <c r="C37" s="9">
        <v>1047</v>
      </c>
      <c r="D37" s="310"/>
      <c r="E37" s="310"/>
      <c r="F37" s="310"/>
      <c r="G37" s="311"/>
    </row>
    <row r="38" spans="1:7" ht="12.75">
      <c r="A38" s="307" t="s">
        <v>41</v>
      </c>
      <c r="B38" s="307"/>
      <c r="C38" s="9">
        <v>112</v>
      </c>
      <c r="D38" s="310"/>
      <c r="E38" s="310"/>
      <c r="F38" s="310"/>
      <c r="G38" s="311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07" t="s">
        <v>43</v>
      </c>
      <c r="B40" s="307"/>
      <c r="C40" s="9">
        <v>441</v>
      </c>
      <c r="D40" s="311"/>
      <c r="E40" s="311"/>
      <c r="F40" s="311"/>
      <c r="G40" s="311"/>
    </row>
    <row r="41" spans="1:7" s="1" customFormat="1" ht="12.75" customHeight="1">
      <c r="A41" s="307" t="s">
        <v>44</v>
      </c>
      <c r="B41" s="307"/>
      <c r="C41" s="9">
        <v>15</v>
      </c>
      <c r="D41" s="311"/>
      <c r="E41" s="311"/>
      <c r="F41" s="311"/>
      <c r="G41" s="311"/>
    </row>
    <row r="42" spans="1:7" ht="12.75" customHeight="1">
      <c r="A42" s="307" t="s">
        <v>45</v>
      </c>
      <c r="B42" s="307"/>
      <c r="C42" s="9">
        <v>93</v>
      </c>
      <c r="D42" s="311"/>
      <c r="E42" s="311"/>
      <c r="F42" s="311"/>
      <c r="G42" s="311"/>
    </row>
    <row r="43" spans="1:7" ht="16.5" customHeight="1">
      <c r="A43" s="307" t="s">
        <v>46</v>
      </c>
      <c r="B43" s="307"/>
      <c r="C43" s="9">
        <v>231</v>
      </c>
      <c r="D43" s="311"/>
      <c r="E43" s="311"/>
      <c r="F43" s="311"/>
      <c r="G43" s="311"/>
    </row>
    <row r="44" spans="1:7" ht="12.75">
      <c r="A44" s="307" t="s">
        <v>47</v>
      </c>
      <c r="B44" s="307"/>
      <c r="C44" s="9">
        <v>61</v>
      </c>
      <c r="D44" s="311"/>
      <c r="E44" s="311"/>
      <c r="F44" s="311"/>
      <c r="G44" s="311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07" t="s">
        <v>49</v>
      </c>
      <c r="B46" s="307"/>
      <c r="C46" s="9">
        <v>311</v>
      </c>
      <c r="D46" s="310"/>
      <c r="E46" s="310"/>
      <c r="F46" s="310"/>
      <c r="G46" s="311"/>
    </row>
    <row r="47" spans="1:7" ht="12.75" customHeight="1">
      <c r="A47" s="307" t="s">
        <v>50</v>
      </c>
      <c r="B47" s="307"/>
      <c r="C47" s="9">
        <v>7</v>
      </c>
      <c r="D47" s="310"/>
      <c r="E47" s="310"/>
      <c r="F47" s="310"/>
      <c r="G47" s="311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07" t="s">
        <v>52</v>
      </c>
      <c r="B49" s="307"/>
      <c r="C49" s="9">
        <v>196</v>
      </c>
      <c r="D49" s="310"/>
      <c r="E49" s="310"/>
      <c r="F49" s="310"/>
      <c r="G49" s="311"/>
    </row>
    <row r="50" spans="1:7" ht="12.75">
      <c r="A50" s="307" t="s">
        <v>53</v>
      </c>
      <c r="B50" s="307"/>
      <c r="C50" s="9">
        <v>32</v>
      </c>
      <c r="D50" s="310"/>
      <c r="E50" s="310"/>
      <c r="F50" s="310"/>
      <c r="G50" s="311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07" t="s">
        <v>55</v>
      </c>
      <c r="B52" s="307"/>
      <c r="C52" s="9">
        <v>396</v>
      </c>
      <c r="D52" s="310"/>
      <c r="E52" s="310"/>
      <c r="F52" s="310"/>
      <c r="G52" s="311"/>
    </row>
    <row r="53" spans="1:7" ht="12.75" customHeight="1">
      <c r="A53" s="307" t="s">
        <v>56</v>
      </c>
      <c r="B53" s="307"/>
      <c r="C53" s="9">
        <v>126</v>
      </c>
      <c r="D53" s="310"/>
      <c r="E53" s="310"/>
      <c r="F53" s="310"/>
      <c r="G53" s="311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07" t="s">
        <v>58</v>
      </c>
      <c r="B55" s="307"/>
      <c r="C55" s="9">
        <v>352</v>
      </c>
      <c r="D55" s="310"/>
      <c r="E55" s="310"/>
      <c r="F55" s="310"/>
      <c r="G55" s="311"/>
    </row>
    <row r="56" spans="1:7" ht="12.75" customHeight="1">
      <c r="A56" s="307" t="s">
        <v>59</v>
      </c>
      <c r="B56" s="307"/>
      <c r="C56" s="9">
        <f>-12</f>
        <v>-12</v>
      </c>
      <c r="D56" s="310"/>
      <c r="E56" s="310"/>
      <c r="F56" s="310"/>
      <c r="G56" s="311"/>
    </row>
    <row r="57" spans="1:7" ht="27.75" customHeight="1">
      <c r="A57" s="315" t="s">
        <v>60</v>
      </c>
      <c r="B57" s="315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16" t="s">
        <v>62</v>
      </c>
      <c r="C76" s="317" t="s">
        <v>63</v>
      </c>
      <c r="D76" s="317"/>
      <c r="G76"/>
    </row>
    <row r="77" spans="2:7" ht="27.75" customHeight="1">
      <c r="B77" s="316"/>
      <c r="C77" s="318" t="s">
        <v>64</v>
      </c>
      <c r="D77" s="318"/>
      <c r="E77" s="19" t="s">
        <v>65</v>
      </c>
      <c r="G77"/>
    </row>
    <row r="78" ht="12.75">
      <c r="G78"/>
    </row>
    <row r="79" ht="12.75">
      <c r="G79"/>
    </row>
    <row r="80" spans="2:7" ht="18">
      <c r="B80" s="312" t="s">
        <v>62</v>
      </c>
      <c r="C80" s="20">
        <v>40366155.36</v>
      </c>
      <c r="E80" s="319" t="s">
        <v>66</v>
      </c>
      <c r="F80" s="314">
        <f>C80/C81</f>
        <v>2213.4208126336566</v>
      </c>
      <c r="G80"/>
    </row>
    <row r="81" spans="2:7" ht="18">
      <c r="B81" s="312"/>
      <c r="C81" s="21">
        <v>18237</v>
      </c>
      <c r="D81" s="2"/>
      <c r="E81" s="319"/>
      <c r="F81" s="314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12" t="s">
        <v>68</v>
      </c>
      <c r="C86" s="312" t="s">
        <v>69</v>
      </c>
      <c r="E86" s="313" t="s">
        <v>70</v>
      </c>
      <c r="F86" s="314">
        <f>2*F80</f>
        <v>4426.841625267313</v>
      </c>
    </row>
    <row r="87" spans="2:6" ht="12.75">
      <c r="B87" s="312"/>
      <c r="C87" s="312"/>
      <c r="E87" s="313"/>
      <c r="F87" s="313"/>
    </row>
    <row r="88" ht="12.75">
      <c r="E88" s="24"/>
    </row>
    <row r="90" ht="12.75">
      <c r="B90" s="1" t="s">
        <v>71</v>
      </c>
    </row>
    <row r="92" spans="2:6" ht="12.75" customHeight="1">
      <c r="B92" s="312" t="s">
        <v>72</v>
      </c>
      <c r="C92" s="312" t="s">
        <v>73</v>
      </c>
      <c r="E92" s="313" t="s">
        <v>74</v>
      </c>
      <c r="F92" s="314">
        <f>10*F80</f>
        <v>22134.208126336565</v>
      </c>
    </row>
    <row r="93" spans="2:6" ht="12.75" customHeight="1">
      <c r="B93" s="312"/>
      <c r="C93" s="312"/>
      <c r="E93" s="313"/>
      <c r="F93" s="313"/>
    </row>
    <row r="96" ht="12.75">
      <c r="B96" s="1" t="s">
        <v>75</v>
      </c>
    </row>
    <row r="98" spans="2:5" ht="25.5" customHeight="1">
      <c r="B98" s="320" t="s">
        <v>76</v>
      </c>
      <c r="C98" s="321" t="s">
        <v>77</v>
      </c>
      <c r="D98" s="321"/>
      <c r="E98" s="322" t="s">
        <v>78</v>
      </c>
    </row>
    <row r="99" spans="2:5" ht="16.5">
      <c r="B99" s="320"/>
      <c r="C99" s="323">
        <v>100</v>
      </c>
      <c r="D99" s="323"/>
      <c r="E99" s="322"/>
    </row>
  </sheetData>
  <sheetProtection selectLockedCells="1" selectUnlockedCells="1"/>
  <mergeCells count="108"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A55:B55"/>
    <mergeCell ref="D55:D56"/>
    <mergeCell ref="E55:E56"/>
    <mergeCell ref="F55:F56"/>
    <mergeCell ref="G55:G56"/>
    <mergeCell ref="A56:B56"/>
    <mergeCell ref="A52:B52"/>
    <mergeCell ref="D52:D53"/>
    <mergeCell ref="E52:E53"/>
    <mergeCell ref="F52:F53"/>
    <mergeCell ref="G52:G53"/>
    <mergeCell ref="A53:B53"/>
    <mergeCell ref="A49:B49"/>
    <mergeCell ref="D49:D50"/>
    <mergeCell ref="E49:E50"/>
    <mergeCell ref="F49:F50"/>
    <mergeCell ref="G49:G50"/>
    <mergeCell ref="A50:B50"/>
    <mergeCell ref="A46:B46"/>
    <mergeCell ref="D46:D47"/>
    <mergeCell ref="E46:E47"/>
    <mergeCell ref="F46:F47"/>
    <mergeCell ref="G46:G47"/>
    <mergeCell ref="A47:B47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37:B37"/>
    <mergeCell ref="D37:D38"/>
    <mergeCell ref="E37:E38"/>
    <mergeCell ref="F37:F38"/>
    <mergeCell ref="G37:G38"/>
    <mergeCell ref="A38:B38"/>
    <mergeCell ref="A34:B34"/>
    <mergeCell ref="D34:D35"/>
    <mergeCell ref="E34:E35"/>
    <mergeCell ref="F34:F35"/>
    <mergeCell ref="G34:G35"/>
    <mergeCell ref="A35:B35"/>
    <mergeCell ref="A30:B30"/>
    <mergeCell ref="D30:D32"/>
    <mergeCell ref="E30:E32"/>
    <mergeCell ref="F30:F32"/>
    <mergeCell ref="G30:G32"/>
    <mergeCell ref="A31:B31"/>
    <mergeCell ref="A32:B32"/>
    <mergeCell ref="A24:B24"/>
    <mergeCell ref="D24:D26"/>
    <mergeCell ref="E24:E26"/>
    <mergeCell ref="F24:F26"/>
    <mergeCell ref="G24:G26"/>
    <mergeCell ref="A25:B25"/>
    <mergeCell ref="A26:B26"/>
    <mergeCell ref="A19:B19"/>
    <mergeCell ref="D19:D22"/>
    <mergeCell ref="E19:E22"/>
    <mergeCell ref="F19:F22"/>
    <mergeCell ref="G19:G22"/>
    <mergeCell ref="A20:B20"/>
    <mergeCell ref="A21:B21"/>
    <mergeCell ref="A22:B22"/>
    <mergeCell ref="A16:B16"/>
    <mergeCell ref="D16:D17"/>
    <mergeCell ref="E16:E17"/>
    <mergeCell ref="F16:F17"/>
    <mergeCell ref="G16:G17"/>
    <mergeCell ref="A17:B17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:G1"/>
    <mergeCell ref="A7:B7"/>
    <mergeCell ref="D7:D8"/>
    <mergeCell ref="E7:E8"/>
    <mergeCell ref="F7:F8"/>
    <mergeCell ref="G7:G8"/>
    <mergeCell ref="A8:B8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24" t="s">
        <v>2</v>
      </c>
      <c r="C3" s="324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07">
        <v>3</v>
      </c>
      <c r="B6" s="33" t="s">
        <v>84</v>
      </c>
      <c r="C6" s="34">
        <f>'Arkusz2 (2)'!C7</f>
        <v>199</v>
      </c>
      <c r="D6" s="309">
        <f>'Arkusz2 (2)'!C6</f>
        <v>283</v>
      </c>
      <c r="E6" s="325">
        <f>'Arkusz2 (2)'!D6</f>
        <v>10690.822525020561</v>
      </c>
      <c r="F6" s="325">
        <f>'Arkusz2 (2)'!F6</f>
        <v>10691</v>
      </c>
      <c r="G6" s="308"/>
    </row>
    <row r="7" spans="1:7" ht="12.75">
      <c r="A7" s="307"/>
      <c r="B7" s="35" t="s">
        <v>85</v>
      </c>
      <c r="C7" s="36">
        <f>'Arkusz2 (2)'!C8</f>
        <v>84</v>
      </c>
      <c r="D7" s="309"/>
      <c r="E7" s="325"/>
      <c r="F7" s="325"/>
      <c r="G7" s="308"/>
    </row>
    <row r="8" spans="1:7" ht="12.75">
      <c r="A8" s="307">
        <v>4</v>
      </c>
      <c r="B8" s="33" t="s">
        <v>86</v>
      </c>
      <c r="C8" s="34">
        <f>'Arkusz2 (2)'!C10</f>
        <v>664</v>
      </c>
      <c r="D8" s="309">
        <f>'Arkusz2 (2)'!C9</f>
        <v>653</v>
      </c>
      <c r="E8" s="325">
        <f>'Arkusz2 (2)'!D9</f>
        <v>18880.479531765093</v>
      </c>
      <c r="F8" s="325">
        <f>'Arkusz2 (2)'!F9</f>
        <v>18880</v>
      </c>
      <c r="G8" s="308"/>
    </row>
    <row r="9" spans="1:7" ht="12.75">
      <c r="A9" s="307"/>
      <c r="B9" s="37" t="s">
        <v>87</v>
      </c>
      <c r="C9" s="38">
        <f>'Arkusz2 (2)'!C11</f>
        <v>0</v>
      </c>
      <c r="D9" s="309"/>
      <c r="E9" s="325"/>
      <c r="F9" s="325"/>
      <c r="G9" s="308"/>
    </row>
    <row r="10" spans="1:7" ht="12.75">
      <c r="A10" s="307"/>
      <c r="B10" s="37" t="s">
        <v>88</v>
      </c>
      <c r="C10" s="38">
        <f>'Arkusz2 (2)'!C12</f>
        <v>-1</v>
      </c>
      <c r="D10" s="309"/>
      <c r="E10" s="325"/>
      <c r="F10" s="325"/>
      <c r="G10" s="308"/>
    </row>
    <row r="11" spans="1:7" ht="12.75">
      <c r="A11" s="307"/>
      <c r="B11" s="37" t="s">
        <v>89</v>
      </c>
      <c r="C11" s="38">
        <f>'Arkusz2 (2)'!C13</f>
        <v>-5</v>
      </c>
      <c r="D11" s="309"/>
      <c r="E11" s="325"/>
      <c r="F11" s="325"/>
      <c r="G11" s="308"/>
    </row>
    <row r="12" spans="1:7" ht="12.75">
      <c r="A12" s="307"/>
      <c r="B12" s="39" t="s">
        <v>90</v>
      </c>
      <c r="C12" s="36">
        <f>'Arkusz2 (2)'!C14</f>
        <v>-5</v>
      </c>
      <c r="D12" s="309"/>
      <c r="E12" s="325"/>
      <c r="F12" s="325"/>
      <c r="G12" s="308"/>
    </row>
    <row r="13" spans="1:7" ht="12.75">
      <c r="A13" s="307">
        <v>5</v>
      </c>
      <c r="B13" s="33" t="s">
        <v>91</v>
      </c>
      <c r="C13" s="34">
        <f>'Arkusz2 (2)'!C16</f>
        <v>229</v>
      </c>
      <c r="D13" s="309">
        <f>'Arkusz2 (2)'!C15</f>
        <v>282</v>
      </c>
      <c r="E13" s="325">
        <f>'Arkusz2 (2)'!D15</f>
        <v>10668.688316894226</v>
      </c>
      <c r="F13" s="325">
        <f>'Arkusz2 (2)'!F15</f>
        <v>10669</v>
      </c>
      <c r="G13" s="308"/>
    </row>
    <row r="14" spans="1:7" ht="12.75">
      <c r="A14" s="307"/>
      <c r="B14" s="39" t="s">
        <v>21</v>
      </c>
      <c r="C14" s="36">
        <f>'Arkusz2 (2)'!C17</f>
        <v>53</v>
      </c>
      <c r="D14" s="309"/>
      <c r="E14" s="325"/>
      <c r="F14" s="325"/>
      <c r="G14" s="308"/>
    </row>
    <row r="15" spans="1:7" ht="12.75">
      <c r="A15" s="307">
        <v>6</v>
      </c>
      <c r="B15" s="33" t="s">
        <v>92</v>
      </c>
      <c r="C15" s="34">
        <f>'Arkusz2 (2)'!C19</f>
        <v>118</v>
      </c>
      <c r="D15" s="309">
        <f>'Arkusz2 (2)'!C18</f>
        <v>167</v>
      </c>
      <c r="E15" s="325">
        <f>'Arkusz2 (2)'!D18</f>
        <v>8123.25438236552</v>
      </c>
      <c r="F15" s="325">
        <f>'Arkusz2 (2)'!F18</f>
        <v>8123</v>
      </c>
      <c r="G15" s="308"/>
    </row>
    <row r="16" spans="1:7" ht="12.75">
      <c r="A16" s="307"/>
      <c r="B16" s="40" t="s">
        <v>93</v>
      </c>
      <c r="C16" s="38">
        <f>'Arkusz2 (2)'!C20</f>
        <v>11</v>
      </c>
      <c r="D16" s="309"/>
      <c r="E16" s="325"/>
      <c r="F16" s="325"/>
      <c r="G16" s="308"/>
    </row>
    <row r="17" spans="1:7" ht="12.75">
      <c r="A17" s="307"/>
      <c r="B17" s="37" t="s">
        <v>94</v>
      </c>
      <c r="C17" s="38">
        <f>'Arkusz2 (2)'!C21</f>
        <v>26</v>
      </c>
      <c r="D17" s="309"/>
      <c r="E17" s="325"/>
      <c r="F17" s="325"/>
      <c r="G17" s="308"/>
    </row>
    <row r="18" spans="1:7" ht="12.75">
      <c r="A18" s="307"/>
      <c r="B18" s="39" t="s">
        <v>26</v>
      </c>
      <c r="C18" s="36">
        <f>'Arkusz2 (2)'!C22</f>
        <v>12</v>
      </c>
      <c r="D18" s="309"/>
      <c r="E18" s="325"/>
      <c r="F18" s="325"/>
      <c r="G18" s="308"/>
    </row>
    <row r="19" spans="1:7" ht="12.75">
      <c r="A19" s="307">
        <v>7</v>
      </c>
      <c r="B19" s="33" t="s">
        <v>95</v>
      </c>
      <c r="C19" s="34">
        <f>'Arkusz2 (2)'!C24</f>
        <v>76</v>
      </c>
      <c r="D19" s="309">
        <f>'Arkusz2 (2)'!C23</f>
        <v>408</v>
      </c>
      <c r="E19" s="325">
        <f>'Arkusz2 (2)'!D23</f>
        <v>13457.598540812633</v>
      </c>
      <c r="F19" s="325">
        <f>'Arkusz2 (2)'!F23</f>
        <v>13458</v>
      </c>
      <c r="G19" s="308"/>
    </row>
    <row r="20" spans="1:7" ht="12.75">
      <c r="A20" s="307"/>
      <c r="B20" s="41" t="s">
        <v>29</v>
      </c>
      <c r="C20" s="38">
        <f>'Arkusz2 (2)'!C25</f>
        <v>198</v>
      </c>
      <c r="D20" s="309"/>
      <c r="E20" s="325"/>
      <c r="F20" s="325"/>
      <c r="G20" s="308"/>
    </row>
    <row r="21" spans="1:7" ht="12.75">
      <c r="A21" s="307"/>
      <c r="B21" s="35" t="s">
        <v>30</v>
      </c>
      <c r="C21" s="36">
        <f>'Arkusz2 (2)'!C26</f>
        <v>134</v>
      </c>
      <c r="D21" s="309"/>
      <c r="E21" s="325"/>
      <c r="F21" s="325"/>
      <c r="G21" s="308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07">
        <v>10</v>
      </c>
      <c r="B24" s="33" t="s">
        <v>98</v>
      </c>
      <c r="C24" s="34">
        <f>'Arkusz2 (2)'!C30</f>
        <v>250</v>
      </c>
      <c r="D24" s="309">
        <f>'Arkusz2 (2)'!C29</f>
        <v>413</v>
      </c>
      <c r="E24" s="325">
        <f>'Arkusz2 (2)'!D29</f>
        <v>13568.269581444314</v>
      </c>
      <c r="F24" s="325">
        <f>'Arkusz2 (2)'!F29</f>
        <v>13568</v>
      </c>
      <c r="G24" s="308"/>
    </row>
    <row r="25" spans="1:7" ht="12.75">
      <c r="A25" s="307"/>
      <c r="B25" s="41" t="s">
        <v>35</v>
      </c>
      <c r="C25" s="38">
        <f>'Arkusz2 (2)'!C31</f>
        <v>149</v>
      </c>
      <c r="D25" s="309"/>
      <c r="E25" s="325"/>
      <c r="F25" s="325"/>
      <c r="G25" s="308"/>
    </row>
    <row r="26" spans="1:7" ht="12.75">
      <c r="A26" s="307"/>
      <c r="B26" s="35" t="s">
        <v>36</v>
      </c>
      <c r="C26" s="36">
        <f>'Arkusz2 (2)'!C32</f>
        <v>14</v>
      </c>
      <c r="D26" s="309"/>
      <c r="E26" s="325"/>
      <c r="F26" s="325"/>
      <c r="G26" s="308"/>
    </row>
    <row r="27" spans="1:7" ht="12.75">
      <c r="A27" s="307">
        <v>11</v>
      </c>
      <c r="B27" s="33" t="s">
        <v>99</v>
      </c>
      <c r="C27" s="34">
        <f>'Arkusz2 (2)'!C34</f>
        <v>238</v>
      </c>
      <c r="D27" s="309">
        <f>'Arkusz2 (2)'!C33</f>
        <v>212</v>
      </c>
      <c r="E27" s="325">
        <f>'Arkusz2 (2)'!D33</f>
        <v>9119.293748050666</v>
      </c>
      <c r="F27" s="325">
        <f>'Arkusz2 (2)'!F33</f>
        <v>9119</v>
      </c>
      <c r="G27" s="308"/>
    </row>
    <row r="28" spans="1:7" ht="12.75">
      <c r="A28" s="307"/>
      <c r="B28" s="39" t="s">
        <v>100</v>
      </c>
      <c r="C28" s="36">
        <f>'Arkusz2 (2)'!C35</f>
        <v>-26</v>
      </c>
      <c r="D28" s="309"/>
      <c r="E28" s="325"/>
      <c r="F28" s="325"/>
      <c r="G28" s="308"/>
    </row>
    <row r="29" spans="1:7" ht="13.5" customHeight="1">
      <c r="A29" s="307">
        <v>12</v>
      </c>
      <c r="B29" s="33" t="s">
        <v>101</v>
      </c>
      <c r="C29" s="34">
        <f>'Arkusz2 (2)'!C37</f>
        <v>1047</v>
      </c>
      <c r="D29" s="309">
        <f>'Arkusz2 (2)'!C36</f>
        <v>1159</v>
      </c>
      <c r="E29" s="325">
        <f>'Arkusz2 (2)'!D36</f>
        <v>30080.388843691395</v>
      </c>
      <c r="F29" s="325">
        <f>'Arkusz2 (2)'!F36</f>
        <v>22134</v>
      </c>
      <c r="G29" s="326" t="s">
        <v>102</v>
      </c>
    </row>
    <row r="30" spans="1:7" ht="42" customHeight="1">
      <c r="A30" s="307"/>
      <c r="B30" s="39" t="s">
        <v>41</v>
      </c>
      <c r="C30" s="36">
        <f>'Arkusz2 (2)'!C38</f>
        <v>112</v>
      </c>
      <c r="D30" s="309"/>
      <c r="E30" s="325"/>
      <c r="F30" s="325"/>
      <c r="G30" s="326"/>
    </row>
    <row r="31" spans="1:7" ht="13.5" customHeight="1">
      <c r="A31" s="307">
        <v>13</v>
      </c>
      <c r="B31" s="33" t="s">
        <v>103</v>
      </c>
      <c r="C31" s="34">
        <f>'Arkusz2 (2)'!C40</f>
        <v>441</v>
      </c>
      <c r="D31" s="309">
        <f>'Arkusz2 (2)'!C39</f>
        <v>841</v>
      </c>
      <c r="E31" s="325">
        <f>'Arkusz2 (2)'!D39</f>
        <v>23041.710659516364</v>
      </c>
      <c r="F31" s="325">
        <f>'Arkusz2 (2)'!F39</f>
        <v>22134</v>
      </c>
      <c r="G31" s="326" t="s">
        <v>102</v>
      </c>
    </row>
    <row r="32" spans="1:7" ht="12.75">
      <c r="A32" s="307"/>
      <c r="B32" s="37" t="s">
        <v>44</v>
      </c>
      <c r="C32" s="38">
        <f>'Arkusz2 (2)'!C41</f>
        <v>15</v>
      </c>
      <c r="D32" s="309"/>
      <c r="E32" s="325"/>
      <c r="F32" s="325"/>
      <c r="G32" s="326"/>
    </row>
    <row r="33" spans="1:7" ht="12.75">
      <c r="A33" s="307"/>
      <c r="B33" s="37" t="s">
        <v>45</v>
      </c>
      <c r="C33" s="38">
        <f>'Arkusz2 (2)'!C42</f>
        <v>93</v>
      </c>
      <c r="D33" s="309"/>
      <c r="E33" s="325"/>
      <c r="F33" s="325"/>
      <c r="G33" s="326"/>
    </row>
    <row r="34" spans="1:7" ht="12.75">
      <c r="A34" s="307"/>
      <c r="B34" s="37" t="s">
        <v>46</v>
      </c>
      <c r="C34" s="38">
        <f>'Arkusz2 (2)'!C43</f>
        <v>231</v>
      </c>
      <c r="D34" s="309"/>
      <c r="E34" s="325"/>
      <c r="F34" s="325"/>
      <c r="G34" s="326"/>
    </row>
    <row r="35" spans="1:7" ht="12.75">
      <c r="A35" s="307"/>
      <c r="B35" s="39" t="s">
        <v>47</v>
      </c>
      <c r="C35" s="36">
        <f>'Arkusz2 (2)'!C44</f>
        <v>61</v>
      </c>
      <c r="D35" s="309"/>
      <c r="E35" s="325"/>
      <c r="F35" s="325"/>
      <c r="G35" s="326"/>
    </row>
    <row r="36" spans="1:7" ht="12.75">
      <c r="A36" s="307">
        <v>14</v>
      </c>
      <c r="B36" s="33" t="s">
        <v>104</v>
      </c>
      <c r="C36" s="34">
        <f>'Arkusz2 (2)'!C46</f>
        <v>311</v>
      </c>
      <c r="D36" s="309">
        <f>'Arkusz2 (2)'!C45</f>
        <v>318</v>
      </c>
      <c r="E36" s="325">
        <f>'Arkusz2 (2)'!D45</f>
        <v>11465.519809442341</v>
      </c>
      <c r="F36" s="325">
        <f>'Arkusz2 (2)'!F45</f>
        <v>11466</v>
      </c>
      <c r="G36" s="308"/>
    </row>
    <row r="37" spans="1:7" ht="12.75">
      <c r="A37" s="307"/>
      <c r="B37" s="39" t="s">
        <v>50</v>
      </c>
      <c r="C37" s="36">
        <f>'Arkusz2 (2)'!C47</f>
        <v>7</v>
      </c>
      <c r="D37" s="309"/>
      <c r="E37" s="325"/>
      <c r="F37" s="325"/>
      <c r="G37" s="308"/>
    </row>
    <row r="38" spans="1:7" ht="12.75">
      <c r="A38" s="307">
        <v>15</v>
      </c>
      <c r="B38" s="33" t="s">
        <v>105</v>
      </c>
      <c r="C38" s="34">
        <f>'Arkusz2 (2)'!C49</f>
        <v>196</v>
      </c>
      <c r="D38" s="309">
        <f>'Arkusz2 (2)'!C48</f>
        <v>228</v>
      </c>
      <c r="E38" s="325">
        <f>'Arkusz2 (2)'!D48</f>
        <v>9473.441078072048</v>
      </c>
      <c r="F38" s="325">
        <f>'Arkusz2 (2)'!F48</f>
        <v>9473</v>
      </c>
      <c r="G38" s="308"/>
    </row>
    <row r="39" spans="1:7" ht="12.75">
      <c r="A39" s="307"/>
      <c r="B39" s="39" t="s">
        <v>53</v>
      </c>
      <c r="C39" s="36">
        <f>'Arkusz2 (2)'!C50</f>
        <v>32</v>
      </c>
      <c r="D39" s="309"/>
      <c r="E39" s="325"/>
      <c r="F39" s="325"/>
      <c r="G39" s="308"/>
    </row>
    <row r="40" spans="1:7" ht="12.75">
      <c r="A40" s="307">
        <v>16</v>
      </c>
      <c r="B40" s="33" t="s">
        <v>106</v>
      </c>
      <c r="C40" s="34">
        <f>'Arkusz2 (2)'!C52</f>
        <v>396</v>
      </c>
      <c r="D40" s="309">
        <f>'Arkusz2 (2)'!C51</f>
        <v>522</v>
      </c>
      <c r="E40" s="325">
        <f>'Arkusz2 (2)'!D51</f>
        <v>15980.898267215</v>
      </c>
      <c r="F40" s="325">
        <f>'Arkusz2 (2)'!F51</f>
        <v>15981</v>
      </c>
      <c r="G40" s="308"/>
    </row>
    <row r="41" spans="1:7" ht="12.75">
      <c r="A41" s="307"/>
      <c r="B41" s="39" t="s">
        <v>56</v>
      </c>
      <c r="C41" s="36">
        <f>'Arkusz2 (2)'!C53</f>
        <v>126</v>
      </c>
      <c r="D41" s="309"/>
      <c r="E41" s="325"/>
      <c r="F41" s="325"/>
      <c r="G41" s="308"/>
    </row>
    <row r="42" spans="1:7" ht="12.75">
      <c r="A42" s="307">
        <v>17</v>
      </c>
      <c r="B42" s="33" t="s">
        <v>107</v>
      </c>
      <c r="C42" s="34">
        <f>'Arkusz2 (2)'!C55</f>
        <v>352</v>
      </c>
      <c r="D42" s="309">
        <f>'Arkusz2 (2)'!C54</f>
        <v>340</v>
      </c>
      <c r="E42" s="325">
        <f>'Arkusz2 (2)'!D54</f>
        <v>11952.472388221746</v>
      </c>
      <c r="F42" s="325">
        <f>'Arkusz2 (2)'!F54</f>
        <v>11952</v>
      </c>
      <c r="G42" s="308"/>
    </row>
    <row r="43" spans="1:7" ht="12.75">
      <c r="A43" s="307"/>
      <c r="B43" s="39" t="s">
        <v>108</v>
      </c>
      <c r="C43" s="36">
        <f>'Arkusz2 (2)'!C56</f>
        <v>-12</v>
      </c>
      <c r="D43" s="309"/>
      <c r="E43" s="325"/>
      <c r="F43" s="325"/>
      <c r="G43" s="308"/>
    </row>
    <row r="44" spans="1:7" ht="30" customHeight="1">
      <c r="A44" s="327" t="s">
        <v>60</v>
      </c>
      <c r="B44" s="327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13:G14"/>
    <mergeCell ref="B3:C3"/>
    <mergeCell ref="A6:A7"/>
    <mergeCell ref="D6:D7"/>
    <mergeCell ref="E6:E7"/>
    <mergeCell ref="F6:F7"/>
    <mergeCell ref="G6:G7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49">
      <selection activeCell="F41" sqref="F41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9" customWidth="1"/>
    <col min="6" max="6" width="15.7109375" style="0" bestFit="1" customWidth="1"/>
    <col min="7" max="7" width="12.00390625" style="0" hidden="1" customWidth="1"/>
  </cols>
  <sheetData>
    <row r="1" ht="12.75">
      <c r="F1" s="162"/>
    </row>
    <row r="2" spans="1:7" ht="18">
      <c r="A2" s="306" t="s">
        <v>407</v>
      </c>
      <c r="B2" s="306"/>
      <c r="C2" s="306"/>
      <c r="D2" s="306"/>
      <c r="E2" s="306"/>
      <c r="F2" s="306"/>
      <c r="G2" s="306"/>
    </row>
    <row r="3" spans="1:7" ht="14.25" customHeight="1">
      <c r="A3" s="2"/>
      <c r="B3" s="2"/>
      <c r="C3" s="2"/>
      <c r="D3" s="2"/>
      <c r="E3" s="136"/>
      <c r="G3" s="2"/>
    </row>
    <row r="4" spans="1:7" ht="89.25">
      <c r="A4" s="3" t="s">
        <v>1</v>
      </c>
      <c r="B4" s="3" t="s">
        <v>2</v>
      </c>
      <c r="C4" s="48" t="s">
        <v>410</v>
      </c>
      <c r="D4" s="48" t="s">
        <v>408</v>
      </c>
      <c r="E4" s="137" t="s">
        <v>409</v>
      </c>
      <c r="F4" s="48" t="s">
        <v>117</v>
      </c>
      <c r="G4" s="48" t="s">
        <v>212</v>
      </c>
    </row>
    <row r="5" spans="1:7" s="1" customFormat="1" ht="15.75">
      <c r="A5" s="49">
        <v>1</v>
      </c>
      <c r="B5" s="50" t="s">
        <v>180</v>
      </c>
      <c r="C5" s="248">
        <v>273</v>
      </c>
      <c r="D5" s="51">
        <f>(2+C5/100)*F73</f>
        <v>21610.184268146895</v>
      </c>
      <c r="E5" s="51">
        <f>IF(D5&lt;$D$78,$D$78,IF(D5&gt;$D$83,$D$83,D5))</f>
        <v>21610.184268146895</v>
      </c>
      <c r="F5" s="51">
        <f>ROUND(E5,0)</f>
        <v>21610</v>
      </c>
      <c r="G5" s="52"/>
    </row>
    <row r="6" spans="1:7" s="1" customFormat="1" ht="15.75">
      <c r="A6" s="49">
        <v>2</v>
      </c>
      <c r="B6" s="50" t="s">
        <v>179</v>
      </c>
      <c r="C6" s="248">
        <v>410</v>
      </c>
      <c r="D6" s="51">
        <f>(2+C6/100)*F73</f>
        <v>27869.370832071047</v>
      </c>
      <c r="E6" s="51">
        <f>ROUND(IF(D6&lt;$D$78,$D$78,IF(D6&gt;$D$83,$D$83,D6)),2)</f>
        <v>27869.37</v>
      </c>
      <c r="F6" s="51">
        <f>ROUND(E6,0)</f>
        <v>27869</v>
      </c>
      <c r="G6" s="52"/>
    </row>
    <row r="7" spans="1:7" s="1" customFormat="1" ht="15.75">
      <c r="A7" s="4">
        <v>3</v>
      </c>
      <c r="B7" s="5" t="s">
        <v>181</v>
      </c>
      <c r="C7" s="249">
        <f>SUM(C8:C9)</f>
        <v>290</v>
      </c>
      <c r="D7" s="7">
        <f>(2+C7/100)*F73</f>
        <v>22386.8716519915</v>
      </c>
      <c r="E7" s="7">
        <f>ROUND(IF(D7&lt;$D$78,$D$78,IF(D7&gt;$D$83,$D$83,D7)),2)</f>
        <v>22386.87</v>
      </c>
      <c r="F7" s="7">
        <f>ROUND(E7,0)</f>
        <v>22387</v>
      </c>
      <c r="G7" s="53"/>
    </row>
    <row r="8" spans="1:7" ht="12.75">
      <c r="A8" s="307" t="s">
        <v>11</v>
      </c>
      <c r="B8" s="307"/>
      <c r="C8" s="250">
        <v>202</v>
      </c>
      <c r="D8" s="346"/>
      <c r="E8" s="346"/>
      <c r="F8" s="308"/>
      <c r="G8" s="325"/>
    </row>
    <row r="9" spans="1:7" ht="12.75">
      <c r="A9" s="307" t="s">
        <v>12</v>
      </c>
      <c r="B9" s="307"/>
      <c r="C9" s="251">
        <v>88</v>
      </c>
      <c r="D9" s="346"/>
      <c r="E9" s="346"/>
      <c r="F9" s="308"/>
      <c r="G9" s="325"/>
    </row>
    <row r="10" spans="1:7" s="1" customFormat="1" ht="25.5">
      <c r="A10" s="4">
        <v>4</v>
      </c>
      <c r="B10" s="5" t="s">
        <v>182</v>
      </c>
      <c r="C10" s="249">
        <f>SUM(C11:C15)</f>
        <v>737</v>
      </c>
      <c r="D10" s="7">
        <f>(2+C10/100)*F73</f>
        <v>42809.18109778783</v>
      </c>
      <c r="E10" s="7">
        <f>ROUND(IF(D10&lt;$D$78,$D$78,IF(D10&gt;$D$83,$D$83,D10)),2)</f>
        <v>42809.18</v>
      </c>
      <c r="F10" s="7">
        <f>ROUND(E10,0)</f>
        <v>42809</v>
      </c>
      <c r="G10" s="53"/>
    </row>
    <row r="11" spans="1:7" ht="12.75" customHeight="1">
      <c r="A11" s="307" t="s">
        <v>118</v>
      </c>
      <c r="B11" s="307"/>
      <c r="C11" s="251">
        <v>750</v>
      </c>
      <c r="D11" s="310"/>
      <c r="E11" s="310"/>
      <c r="F11" s="310"/>
      <c r="G11" s="325"/>
    </row>
    <row r="12" spans="1:7" ht="12.75" customHeight="1">
      <c r="A12" s="307" t="s">
        <v>15</v>
      </c>
      <c r="B12" s="307"/>
      <c r="C12" s="251">
        <v>0</v>
      </c>
      <c r="D12" s="310"/>
      <c r="E12" s="310"/>
      <c r="F12" s="310"/>
      <c r="G12" s="325"/>
    </row>
    <row r="13" spans="1:7" ht="12.75" customHeight="1">
      <c r="A13" s="307" t="s">
        <v>16</v>
      </c>
      <c r="B13" s="307"/>
      <c r="C13" s="251">
        <v>-1</v>
      </c>
      <c r="D13" s="310"/>
      <c r="E13" s="310"/>
      <c r="F13" s="310"/>
      <c r="G13" s="325"/>
    </row>
    <row r="14" spans="1:7" ht="12.75" customHeight="1">
      <c r="A14" s="307" t="s">
        <v>17</v>
      </c>
      <c r="B14" s="307"/>
      <c r="C14" s="251">
        <v>-8</v>
      </c>
      <c r="D14" s="310"/>
      <c r="E14" s="310"/>
      <c r="F14" s="310"/>
      <c r="G14" s="325"/>
    </row>
    <row r="15" spans="1:7" ht="12.75" customHeight="1">
      <c r="A15" s="307" t="s">
        <v>18</v>
      </c>
      <c r="B15" s="307"/>
      <c r="C15" s="251">
        <v>-4</v>
      </c>
      <c r="D15" s="310"/>
      <c r="E15" s="310"/>
      <c r="F15" s="310"/>
      <c r="G15" s="325"/>
    </row>
    <row r="16" spans="1:7" s="1" customFormat="1" ht="15.75">
      <c r="A16" s="4">
        <v>5</v>
      </c>
      <c r="B16" s="5" t="s">
        <v>183</v>
      </c>
      <c r="C16" s="249">
        <f>SUM(C17:C18)</f>
        <v>363</v>
      </c>
      <c r="D16" s="7">
        <f>(2+C16/100)*F73</f>
        <v>25722.058653206557</v>
      </c>
      <c r="E16" s="7">
        <f>ROUND(IF(D16&lt;$D$78,$D$78,IF(D16&gt;$D$83,$D$83,D16)),2)</f>
        <v>25722.06</v>
      </c>
      <c r="F16" s="7">
        <f>ROUND(E16,0)</f>
        <v>25722</v>
      </c>
      <c r="G16" s="53"/>
    </row>
    <row r="17" spans="1:7" ht="12.75" customHeight="1">
      <c r="A17" s="307" t="s">
        <v>20</v>
      </c>
      <c r="B17" s="307"/>
      <c r="C17" s="251">
        <v>291</v>
      </c>
      <c r="D17" s="310"/>
      <c r="E17" s="310"/>
      <c r="F17" s="310"/>
      <c r="G17" s="325"/>
    </row>
    <row r="18" spans="1:7" ht="12.75" customHeight="1">
      <c r="A18" s="307" t="s">
        <v>21</v>
      </c>
      <c r="B18" s="307"/>
      <c r="C18" s="251">
        <v>72</v>
      </c>
      <c r="D18" s="310"/>
      <c r="E18" s="310"/>
      <c r="F18" s="310"/>
      <c r="G18" s="325"/>
    </row>
    <row r="19" spans="1:7" s="1" customFormat="1" ht="15.75">
      <c r="A19" s="4">
        <v>6</v>
      </c>
      <c r="B19" s="5" t="s">
        <v>184</v>
      </c>
      <c r="C19" s="249">
        <f>SUM(C20:C23)</f>
        <v>149</v>
      </c>
      <c r="D19" s="7">
        <f>(2+C19/100)*F73</f>
        <v>15944.935115398026</v>
      </c>
      <c r="E19" s="7">
        <f>ROUND(IF(D19&lt;$D$78,$D$78,IF(D19&gt;$D$83,$D$83,D19)),2)</f>
        <v>15944.94</v>
      </c>
      <c r="F19" s="7">
        <f>ROUND(E19,0)</f>
        <v>15945</v>
      </c>
      <c r="G19" s="53"/>
    </row>
    <row r="20" spans="1:7" ht="12.75" customHeight="1">
      <c r="A20" s="307" t="s">
        <v>23</v>
      </c>
      <c r="B20" s="307"/>
      <c r="C20" s="251">
        <v>103</v>
      </c>
      <c r="D20" s="310"/>
      <c r="E20" s="310"/>
      <c r="F20" s="310"/>
      <c r="G20" s="325"/>
    </row>
    <row r="21" spans="1:7" ht="12.75" customHeight="1">
      <c r="A21" s="307" t="s">
        <v>24</v>
      </c>
      <c r="B21" s="307"/>
      <c r="C21" s="252">
        <v>13</v>
      </c>
      <c r="D21" s="310"/>
      <c r="E21" s="310"/>
      <c r="F21" s="310"/>
      <c r="G21" s="325"/>
    </row>
    <row r="22" spans="1:7" ht="12.75" customHeight="1">
      <c r="A22" s="307" t="s">
        <v>25</v>
      </c>
      <c r="B22" s="307"/>
      <c r="C22" s="252">
        <v>23</v>
      </c>
      <c r="D22" s="310"/>
      <c r="E22" s="310"/>
      <c r="F22" s="310"/>
      <c r="G22" s="325"/>
    </row>
    <row r="23" spans="1:7" ht="12.75" customHeight="1">
      <c r="A23" s="307" t="s">
        <v>26</v>
      </c>
      <c r="B23" s="307"/>
      <c r="C23" s="252">
        <v>10</v>
      </c>
      <c r="D23" s="310"/>
      <c r="E23" s="310"/>
      <c r="F23" s="310"/>
      <c r="G23" s="325"/>
    </row>
    <row r="24" spans="1:7" s="1" customFormat="1" ht="15.75">
      <c r="A24" s="4">
        <v>7</v>
      </c>
      <c r="B24" s="5" t="s">
        <v>185</v>
      </c>
      <c r="C24" s="249">
        <f>SUM(C25:C27)</f>
        <v>473</v>
      </c>
      <c r="D24" s="7">
        <f>(2+C24/100)*F73</f>
        <v>30747.682901612814</v>
      </c>
      <c r="E24" s="7">
        <f>IF(D24&lt;$D$78,$D$78,IF(D24&gt;$D$83,$D$83,D24))</f>
        <v>30747.682901612814</v>
      </c>
      <c r="F24" s="7">
        <f>ROUND(E24,0)</f>
        <v>30748</v>
      </c>
      <c r="G24" s="53"/>
    </row>
    <row r="25" spans="1:7" ht="12.75" customHeight="1">
      <c r="A25" s="307" t="s">
        <v>28</v>
      </c>
      <c r="B25" s="307"/>
      <c r="C25" s="251">
        <v>87</v>
      </c>
      <c r="D25" s="310"/>
      <c r="E25" s="310"/>
      <c r="F25" s="310"/>
      <c r="G25" s="325"/>
    </row>
    <row r="26" spans="1:7" ht="12.75" customHeight="1">
      <c r="A26" s="307" t="s">
        <v>29</v>
      </c>
      <c r="B26" s="307"/>
      <c r="C26" s="251">
        <v>234</v>
      </c>
      <c r="D26" s="310"/>
      <c r="E26" s="310"/>
      <c r="F26" s="310"/>
      <c r="G26" s="325"/>
    </row>
    <row r="27" spans="1:7" ht="12.75" customHeight="1">
      <c r="A27" s="307" t="s">
        <v>30</v>
      </c>
      <c r="B27" s="307"/>
      <c r="C27" s="251">
        <v>152</v>
      </c>
      <c r="D27" s="310"/>
      <c r="E27" s="310"/>
      <c r="F27" s="310"/>
      <c r="G27" s="325"/>
    </row>
    <row r="28" spans="1:7" s="1" customFormat="1" ht="15.75">
      <c r="A28" s="4">
        <v>8</v>
      </c>
      <c r="B28" s="5" t="s">
        <v>186</v>
      </c>
      <c r="C28" s="249">
        <v>51</v>
      </c>
      <c r="D28" s="7">
        <f>(2+C28/100)*F73</f>
        <v>11467.560784999725</v>
      </c>
      <c r="E28" s="7">
        <f>ROUND(IF(D28&lt;$D$78,$D$78,IF(D28&gt;$D$83,$D$83,D28)),2)</f>
        <v>11467.56</v>
      </c>
      <c r="F28" s="7">
        <f>ROUND(E28,0)</f>
        <v>11468</v>
      </c>
      <c r="G28" s="53"/>
    </row>
    <row r="29" spans="1:7" s="1" customFormat="1" ht="15.75">
      <c r="A29" s="4">
        <v>9</v>
      </c>
      <c r="B29" s="5" t="s">
        <v>187</v>
      </c>
      <c r="C29" s="249">
        <v>88</v>
      </c>
      <c r="D29" s="7">
        <f>(2+C29/100)*F73</f>
        <v>13157.99803219092</v>
      </c>
      <c r="E29" s="7">
        <f>ROUND(IF(D29&lt;$D$78,$D$78,IF(D29&gt;$D$83,$D$83,D29)),2)</f>
        <v>13158</v>
      </c>
      <c r="F29" s="7">
        <f>ROUND(E29,0)</f>
        <v>13158</v>
      </c>
      <c r="G29" s="53"/>
    </row>
    <row r="30" spans="1:7" s="1" customFormat="1" ht="25.5">
      <c r="A30" s="4">
        <v>10</v>
      </c>
      <c r="B30" s="5" t="s">
        <v>188</v>
      </c>
      <c r="C30" s="249">
        <f>SUM(C31:C32)</f>
        <v>317</v>
      </c>
      <c r="D30" s="7">
        <f>(2+C30/100)*F73</f>
        <v>23620.433967509394</v>
      </c>
      <c r="E30" s="7">
        <f>ROUND(IF(D30&lt;$D$78,$D$78,IF(D30&gt;$D$83,$D$83,D30)),2)</f>
        <v>23620.43</v>
      </c>
      <c r="F30" s="7">
        <f>ROUND(E30,0)</f>
        <v>23620</v>
      </c>
      <c r="G30" s="53"/>
    </row>
    <row r="31" spans="1:7" s="1" customFormat="1" ht="12.75" customHeight="1">
      <c r="A31" s="307" t="s">
        <v>34</v>
      </c>
      <c r="B31" s="307"/>
      <c r="C31" s="251">
        <v>301</v>
      </c>
      <c r="D31" s="76"/>
      <c r="E31" s="76"/>
      <c r="F31" s="76"/>
      <c r="G31" s="77"/>
    </row>
    <row r="32" spans="1:7" ht="16.5" customHeight="1">
      <c r="A32" s="340" t="s">
        <v>36</v>
      </c>
      <c r="B32" s="341"/>
      <c r="C32" s="251">
        <v>16</v>
      </c>
      <c r="D32" s="76"/>
      <c r="E32" s="76"/>
      <c r="F32" s="76"/>
      <c r="G32" s="77"/>
    </row>
    <row r="33" spans="1:7" s="1" customFormat="1" ht="15.75">
      <c r="A33" s="4">
        <v>11</v>
      </c>
      <c r="B33" s="5" t="s">
        <v>280</v>
      </c>
      <c r="C33" s="249">
        <f>C34</f>
        <v>256</v>
      </c>
      <c r="D33" s="7">
        <f>(2+C33/100)*F73</f>
        <v>20833.496884302294</v>
      </c>
      <c r="E33" s="7">
        <f>ROUND(IF(D33&lt;$D$78,$D$78,IF(D33&gt;$D$83,$D$83,D33)),2)</f>
        <v>20833.5</v>
      </c>
      <c r="F33" s="7">
        <f>ROUND(E33,0)</f>
        <v>20834</v>
      </c>
      <c r="G33" s="53"/>
    </row>
    <row r="34" spans="1:7" ht="12.75" customHeight="1">
      <c r="A34" s="307" t="s">
        <v>35</v>
      </c>
      <c r="B34" s="307"/>
      <c r="C34" s="345">
        <v>256</v>
      </c>
      <c r="D34" s="328"/>
      <c r="E34" s="328"/>
      <c r="F34" s="328"/>
      <c r="G34" s="53"/>
    </row>
    <row r="35" spans="1:7" ht="18.75" customHeight="1">
      <c r="A35" s="307"/>
      <c r="B35" s="307"/>
      <c r="C35" s="345"/>
      <c r="D35" s="329"/>
      <c r="E35" s="329"/>
      <c r="F35" s="329"/>
      <c r="G35" s="53"/>
    </row>
    <row r="36" spans="1:7" s="1" customFormat="1" ht="15.75">
      <c r="A36" s="4">
        <v>12</v>
      </c>
      <c r="B36" s="5" t="s">
        <v>189</v>
      </c>
      <c r="C36" s="249">
        <f>SUM(C37:C38)</f>
        <v>190</v>
      </c>
      <c r="D36" s="7">
        <f>(2+C36/100)*F73</f>
        <v>17818.122335258537</v>
      </c>
      <c r="E36" s="7">
        <f>IF(D36&lt;$D$78,$D$78,IF(D36&gt;$D$83,$D$83,D36))</f>
        <v>17818.122335258537</v>
      </c>
      <c r="F36" s="7">
        <f>ROUND(E36,0)</f>
        <v>17818</v>
      </c>
      <c r="G36" s="53"/>
    </row>
    <row r="37" spans="1:7" ht="15" customHeight="1">
      <c r="A37" s="307" t="s">
        <v>38</v>
      </c>
      <c r="B37" s="307"/>
      <c r="C37" s="251">
        <v>213</v>
      </c>
      <c r="D37" s="325"/>
      <c r="E37" s="325"/>
      <c r="F37" s="325"/>
      <c r="G37" s="325"/>
    </row>
    <row r="38" spans="1:7" ht="15" customHeight="1">
      <c r="A38" s="307" t="s">
        <v>25</v>
      </c>
      <c r="B38" s="307"/>
      <c r="C38" s="252">
        <v>-23</v>
      </c>
      <c r="D38" s="325"/>
      <c r="E38" s="325"/>
      <c r="F38" s="325"/>
      <c r="G38" s="325"/>
    </row>
    <row r="39" spans="1:7" s="1" customFormat="1" ht="15.75">
      <c r="A39" s="4">
        <v>13</v>
      </c>
      <c r="B39" s="5" t="s">
        <v>190</v>
      </c>
      <c r="C39" s="249">
        <f>C40</f>
        <v>1088</v>
      </c>
      <c r="D39" s="7">
        <f>(2+C39/100)*F73</f>
        <v>58845.49119952051</v>
      </c>
      <c r="E39" s="7">
        <f>D83</f>
        <v>45687.49316732959</v>
      </c>
      <c r="F39" s="7">
        <f>ROUND(E39,0)</f>
        <v>45687</v>
      </c>
      <c r="G39" s="54"/>
    </row>
    <row r="40" spans="1:7" ht="12.75" customHeight="1">
      <c r="A40" s="307" t="s">
        <v>40</v>
      </c>
      <c r="B40" s="307"/>
      <c r="C40" s="251">
        <v>1088</v>
      </c>
      <c r="D40" s="254"/>
      <c r="E40" s="7"/>
      <c r="F40" s="7"/>
      <c r="G40" s="343"/>
    </row>
    <row r="41" spans="1:7" s="1" customFormat="1" ht="18">
      <c r="A41" s="4">
        <v>14</v>
      </c>
      <c r="B41" s="5" t="s">
        <v>417</v>
      </c>
      <c r="C41" s="256">
        <f>C42</f>
        <v>108</v>
      </c>
      <c r="D41" s="257">
        <v>0</v>
      </c>
      <c r="E41" s="7">
        <v>0</v>
      </c>
      <c r="F41" s="7">
        <f>ROUND(E41,0)</f>
        <v>0</v>
      </c>
      <c r="G41" s="344"/>
    </row>
    <row r="42" spans="1:7" ht="24" customHeight="1">
      <c r="A42" s="307" t="s">
        <v>41</v>
      </c>
      <c r="B42" s="307"/>
      <c r="C42" s="251">
        <v>108</v>
      </c>
      <c r="D42" s="255"/>
      <c r="E42" s="255"/>
      <c r="F42" s="255"/>
      <c r="G42" s="343"/>
    </row>
    <row r="43" spans="1:7" s="1" customFormat="1" ht="15.75">
      <c r="A43" s="4">
        <v>15</v>
      </c>
      <c r="B43" s="5" t="s">
        <v>191</v>
      </c>
      <c r="C43" s="249">
        <f>SUM(C44:C48)</f>
        <v>815</v>
      </c>
      <c r="D43" s="7">
        <f>(2+C43/100)*F73</f>
        <v>46372.80556483953</v>
      </c>
      <c r="E43" s="7">
        <f>D83</f>
        <v>45687.49316732959</v>
      </c>
      <c r="F43" s="7">
        <f>ROUND(E43,0)</f>
        <v>45687</v>
      </c>
      <c r="G43" s="54"/>
    </row>
    <row r="44" spans="1:7" s="1" customFormat="1" ht="12.75" customHeight="1">
      <c r="A44" s="307" t="s">
        <v>43</v>
      </c>
      <c r="B44" s="307"/>
      <c r="C44" s="251">
        <v>445</v>
      </c>
      <c r="D44" s="311"/>
      <c r="E44" s="311"/>
      <c r="F44" s="311"/>
      <c r="G44" s="342"/>
    </row>
    <row r="45" spans="1:7" s="1" customFormat="1" ht="12.75" customHeight="1">
      <c r="A45" s="307" t="s">
        <v>44</v>
      </c>
      <c r="B45" s="307"/>
      <c r="C45" s="251">
        <v>21</v>
      </c>
      <c r="D45" s="311"/>
      <c r="E45" s="311"/>
      <c r="F45" s="311"/>
      <c r="G45" s="342"/>
    </row>
    <row r="46" spans="1:7" ht="12.75" customHeight="1">
      <c r="A46" s="307" t="s">
        <v>45</v>
      </c>
      <c r="B46" s="307"/>
      <c r="C46" s="251">
        <v>89</v>
      </c>
      <c r="D46" s="311"/>
      <c r="E46" s="311"/>
      <c r="F46" s="311"/>
      <c r="G46" s="342"/>
    </row>
    <row r="47" spans="1:7" ht="12.75" customHeight="1">
      <c r="A47" s="307" t="s">
        <v>46</v>
      </c>
      <c r="B47" s="307"/>
      <c r="C47" s="251">
        <v>203</v>
      </c>
      <c r="D47" s="311"/>
      <c r="E47" s="311"/>
      <c r="F47" s="311"/>
      <c r="G47" s="342"/>
    </row>
    <row r="48" spans="1:7" ht="12.75" customHeight="1">
      <c r="A48" s="307" t="s">
        <v>47</v>
      </c>
      <c r="B48" s="307"/>
      <c r="C48" s="251">
        <v>57</v>
      </c>
      <c r="D48" s="311"/>
      <c r="E48" s="311"/>
      <c r="F48" s="311"/>
      <c r="G48" s="342"/>
    </row>
    <row r="49" spans="1:7" s="15" customFormat="1" ht="15.75">
      <c r="A49" s="4">
        <v>16</v>
      </c>
      <c r="B49" s="5" t="s">
        <v>192</v>
      </c>
      <c r="C49" s="249">
        <f>SUM(C50:C52)</f>
        <v>322</v>
      </c>
      <c r="D49" s="7">
        <f>(2+C49/100)*F73</f>
        <v>23848.871433346045</v>
      </c>
      <c r="E49" s="7">
        <f>ROUND(IF(D49&lt;$D$78,$D$78,IF(D49&gt;$D$83,$D$83,D49)),2)</f>
        <v>23848.87</v>
      </c>
      <c r="F49" s="7">
        <f>ROUND(E49,0)</f>
        <v>23849</v>
      </c>
      <c r="G49" s="54"/>
    </row>
    <row r="50" spans="1:11" ht="12.75" customHeight="1">
      <c r="A50" s="307" t="s">
        <v>49</v>
      </c>
      <c r="B50" s="307"/>
      <c r="C50" s="251">
        <v>298</v>
      </c>
      <c r="D50" s="310"/>
      <c r="E50" s="310"/>
      <c r="F50" s="310"/>
      <c r="G50" s="325"/>
      <c r="H50" s="16"/>
      <c r="I50" s="16"/>
      <c r="J50" s="16"/>
      <c r="K50" s="16"/>
    </row>
    <row r="51" spans="1:11" ht="12.75" customHeight="1">
      <c r="A51" s="340" t="s">
        <v>178</v>
      </c>
      <c r="B51" s="341"/>
      <c r="C51" s="251">
        <v>9</v>
      </c>
      <c r="D51" s="310"/>
      <c r="E51" s="310"/>
      <c r="F51" s="310"/>
      <c r="G51" s="325"/>
      <c r="H51" s="16"/>
      <c r="I51" s="16"/>
      <c r="J51" s="16"/>
      <c r="K51" s="16"/>
    </row>
    <row r="52" spans="1:11" ht="12.75" customHeight="1">
      <c r="A52" s="307" t="s">
        <v>50</v>
      </c>
      <c r="B52" s="307"/>
      <c r="C52" s="251">
        <v>15</v>
      </c>
      <c r="D52" s="310"/>
      <c r="E52" s="310"/>
      <c r="F52" s="310"/>
      <c r="G52" s="325"/>
      <c r="H52" s="16"/>
      <c r="I52" s="16"/>
      <c r="J52" s="16"/>
      <c r="K52" s="16"/>
    </row>
    <row r="53" spans="1:7" s="15" customFormat="1" ht="15.75">
      <c r="A53" s="4">
        <v>17</v>
      </c>
      <c r="B53" s="5" t="s">
        <v>193</v>
      </c>
      <c r="C53" s="249">
        <f>SUM(C54:C55)</f>
        <v>248</v>
      </c>
      <c r="D53" s="7">
        <f>(2+C53/100)*F73</f>
        <v>20467.996938963657</v>
      </c>
      <c r="E53" s="7">
        <f>ROUND(IF(D53&lt;$D$78,$D$78,IF(D53&gt;$D$83,$D$83,D53)),2)</f>
        <v>20468</v>
      </c>
      <c r="F53" s="7">
        <f>ROUND(E53,0)</f>
        <v>20468</v>
      </c>
      <c r="G53" s="54"/>
    </row>
    <row r="54" spans="1:11" ht="12.75" customHeight="1">
      <c r="A54" s="307" t="s">
        <v>52</v>
      </c>
      <c r="B54" s="307"/>
      <c r="C54" s="251">
        <v>217</v>
      </c>
      <c r="D54" s="310"/>
      <c r="E54" s="310"/>
      <c r="F54" s="310"/>
      <c r="G54" s="325"/>
      <c r="H54" s="16"/>
      <c r="I54" s="16"/>
      <c r="J54" s="16"/>
      <c r="K54" s="16"/>
    </row>
    <row r="55" spans="1:11" ht="12.75" customHeight="1">
      <c r="A55" s="307" t="s">
        <v>53</v>
      </c>
      <c r="B55" s="307"/>
      <c r="C55" s="251">
        <v>31</v>
      </c>
      <c r="D55" s="310"/>
      <c r="E55" s="310"/>
      <c r="F55" s="310"/>
      <c r="G55" s="325"/>
      <c r="H55" s="16"/>
      <c r="I55" s="16"/>
      <c r="J55" s="16"/>
      <c r="K55" s="16"/>
    </row>
    <row r="56" spans="1:7" s="15" customFormat="1" ht="15.75">
      <c r="A56" s="4">
        <v>18</v>
      </c>
      <c r="B56" s="5" t="s">
        <v>194</v>
      </c>
      <c r="C56" s="249">
        <f>SUM(C57:C58)</f>
        <v>579</v>
      </c>
      <c r="D56" s="7">
        <f>(2+C56/100)*F73</f>
        <v>35590.55717734975</v>
      </c>
      <c r="E56" s="7">
        <f>ROUND(IF(D56&lt;$D$78,$D$78,IF(D56&gt;$D$83,$D$83,D56)),2)</f>
        <v>35590.56</v>
      </c>
      <c r="F56" s="7">
        <f>ROUND(E56,0)</f>
        <v>35591</v>
      </c>
      <c r="G56" s="54"/>
    </row>
    <row r="57" spans="1:11" ht="12.75" customHeight="1">
      <c r="A57" s="307" t="s">
        <v>55</v>
      </c>
      <c r="B57" s="307"/>
      <c r="C57" s="251">
        <v>371</v>
      </c>
      <c r="D57" s="310"/>
      <c r="E57" s="310"/>
      <c r="F57" s="310"/>
      <c r="G57" s="325"/>
      <c r="H57" s="16"/>
      <c r="I57" s="16"/>
      <c r="J57" s="16"/>
      <c r="K57" s="16"/>
    </row>
    <row r="58" spans="1:11" ht="12.75" customHeight="1">
      <c r="A58" s="307" t="s">
        <v>56</v>
      </c>
      <c r="B58" s="307"/>
      <c r="C58" s="251">
        <v>208</v>
      </c>
      <c r="D58" s="310"/>
      <c r="E58" s="310"/>
      <c r="F58" s="310"/>
      <c r="G58" s="325"/>
      <c r="H58" s="16"/>
      <c r="I58" s="16"/>
      <c r="J58" s="16"/>
      <c r="K58" s="16"/>
    </row>
    <row r="59" spans="1:7" s="15" customFormat="1" ht="15.75">
      <c r="A59" s="4">
        <v>19</v>
      </c>
      <c r="B59" s="5" t="s">
        <v>195</v>
      </c>
      <c r="C59" s="249">
        <f>SUM(C60:C61)</f>
        <v>324</v>
      </c>
      <c r="D59" s="7">
        <f>(2+C59/100)*F73</f>
        <v>23940.246419680705</v>
      </c>
      <c r="E59" s="7">
        <f>ROUND(IF(D59&lt;$D$78,$D$78,IF(D59&gt;$D$83,$D$83,D59)),2)</f>
        <v>23940.25</v>
      </c>
      <c r="F59" s="7">
        <f>ROUND(E59,0)</f>
        <v>23940</v>
      </c>
      <c r="G59" s="54"/>
    </row>
    <row r="60" spans="1:7" ht="12.75" customHeight="1">
      <c r="A60" s="307" t="s">
        <v>58</v>
      </c>
      <c r="B60" s="307"/>
      <c r="C60" s="251">
        <v>334</v>
      </c>
      <c r="D60" s="310"/>
      <c r="E60" s="339"/>
      <c r="F60" s="310"/>
      <c r="G60" s="325"/>
    </row>
    <row r="61" spans="1:7" ht="12.75" customHeight="1">
      <c r="A61" s="307" t="s">
        <v>59</v>
      </c>
      <c r="B61" s="307"/>
      <c r="C61" s="252">
        <v>-10</v>
      </c>
      <c r="D61" s="310"/>
      <c r="E61" s="339"/>
      <c r="F61" s="310"/>
      <c r="G61" s="325"/>
    </row>
    <row r="62" spans="1:7" ht="27.75" customHeight="1">
      <c r="A62" s="315" t="s">
        <v>60</v>
      </c>
      <c r="B62" s="315"/>
      <c r="C62" s="253">
        <f>C59+C56+C53+C49+C43+C39+C36+C33+C30+C29+C28+C24+C19+C10+C16+C5+C6+C7+C41</f>
        <v>7081</v>
      </c>
      <c r="D62" s="7">
        <f>D59+D56+D53+D49+D43+D39+D36+D30+D29+D28+D24+D19+D16+D10+D7+D6+D5+D33+D41</f>
        <v>483053.86525817576</v>
      </c>
      <c r="E62" s="7">
        <f>E59+E56+E53+E49+E43+E39+E36+E30+E29+E28+E24+E19+E16+E10+E7+E6+E5+E33+E41</f>
        <v>469210.56583967735</v>
      </c>
      <c r="F62" s="7">
        <f>F59+F56+F53+F49+F43+F39+F36+F30+F29+F28+F24+F19+F16+F10+F7+F6+F5+F33+F41</f>
        <v>469210</v>
      </c>
      <c r="G62" s="7">
        <f>G59+G56+G53+G49+G43+G39+G36+G30+G29+G28+G24+G19+G16+G10+G7+G6+G5+G33</f>
        <v>0</v>
      </c>
    </row>
    <row r="63" spans="1:7" s="16" customFormat="1" ht="9.75" customHeight="1">
      <c r="A63" s="68"/>
      <c r="B63" s="68"/>
      <c r="C63" s="69"/>
      <c r="D63" s="70"/>
      <c r="E63" s="138"/>
      <c r="F63" s="70"/>
      <c r="G63" s="71"/>
    </row>
    <row r="64" spans="1:7" s="16" customFormat="1" ht="15.75">
      <c r="A64" s="333" t="s">
        <v>177</v>
      </c>
      <c r="B64" s="333"/>
      <c r="C64" s="333"/>
      <c r="D64" s="70"/>
      <c r="E64" s="138"/>
      <c r="F64" s="70"/>
      <c r="G64" s="71"/>
    </row>
    <row r="65" spans="1:7" s="16" customFormat="1" ht="15.75">
      <c r="A65" s="333" t="s">
        <v>414</v>
      </c>
      <c r="B65" s="333"/>
      <c r="C65" s="333"/>
      <c r="D65" s="70"/>
      <c r="E65" s="138"/>
      <c r="F65" s="70"/>
      <c r="G65" s="71"/>
    </row>
    <row r="66" spans="1:7" s="16" customFormat="1" ht="15.75">
      <c r="A66" s="68"/>
      <c r="B66" s="68"/>
      <c r="C66" s="69"/>
      <c r="D66" s="70"/>
      <c r="E66" s="138"/>
      <c r="F66" s="70"/>
      <c r="G66" s="71"/>
    </row>
    <row r="67" ht="12.75">
      <c r="B67" s="1" t="s">
        <v>61</v>
      </c>
    </row>
    <row r="69" spans="2:4" ht="12.75">
      <c r="B69" s="316" t="s">
        <v>62</v>
      </c>
      <c r="C69" s="317" t="s">
        <v>411</v>
      </c>
      <c r="D69" s="317"/>
    </row>
    <row r="70" spans="2:5" ht="24.75" customHeight="1">
      <c r="B70" s="316"/>
      <c r="C70" s="338" t="s">
        <v>412</v>
      </c>
      <c r="D70" s="338"/>
      <c r="E70" s="140" t="s">
        <v>200</v>
      </c>
    </row>
    <row r="72" spans="2:4" ht="12.75">
      <c r="B72" s="316" t="s">
        <v>62</v>
      </c>
      <c r="C72" s="56">
        <v>83850256.21</v>
      </c>
      <c r="D72" s="334">
        <f>C72/C73</f>
        <v>4568.7493167329585</v>
      </c>
    </row>
    <row r="73" spans="2:6" ht="15.75">
      <c r="B73" s="316"/>
      <c r="C73" s="57">
        <v>18353</v>
      </c>
      <c r="D73" s="334"/>
      <c r="E73" s="141">
        <f>ROUND(D72,2)</f>
        <v>4568.75</v>
      </c>
      <c r="F73" s="135">
        <f>D72</f>
        <v>4568.7493167329585</v>
      </c>
    </row>
    <row r="74" spans="2:5" ht="27">
      <c r="B74" s="18"/>
      <c r="C74" s="57"/>
      <c r="D74" s="58"/>
      <c r="E74" s="141"/>
    </row>
    <row r="75" spans="3:4" ht="15.75">
      <c r="C75" s="57"/>
      <c r="D75" s="59"/>
    </row>
    <row r="76" ht="12.75">
      <c r="B76" s="1" t="s">
        <v>67</v>
      </c>
    </row>
    <row r="78" spans="2:5" ht="23.25" customHeight="1">
      <c r="B78" s="316" t="s">
        <v>119</v>
      </c>
      <c r="C78" s="335" t="s">
        <v>405</v>
      </c>
      <c r="D78" s="336">
        <f>2*E73</f>
        <v>9137.5</v>
      </c>
      <c r="E78" s="142"/>
    </row>
    <row r="79" spans="2:5" ht="12.75" customHeight="1">
      <c r="B79" s="316"/>
      <c r="C79" s="335"/>
      <c r="D79" s="337"/>
      <c r="E79" s="143"/>
    </row>
    <row r="81" ht="12.75">
      <c r="B81" s="1" t="s">
        <v>120</v>
      </c>
    </row>
    <row r="83" spans="2:5" ht="12.75" customHeight="1">
      <c r="B83" s="316" t="s">
        <v>121</v>
      </c>
      <c r="C83" s="335" t="s">
        <v>406</v>
      </c>
      <c r="D83" s="336">
        <f>10*F73</f>
        <v>45687.49316732959</v>
      </c>
      <c r="E83" s="142"/>
    </row>
    <row r="84" spans="2:5" ht="12.75" customHeight="1">
      <c r="B84" s="316"/>
      <c r="C84" s="335"/>
      <c r="D84" s="336"/>
      <c r="E84" s="142"/>
    </row>
    <row r="86" ht="12.75">
      <c r="B86" s="1" t="s">
        <v>75</v>
      </c>
    </row>
    <row r="88" spans="2:5" ht="27" customHeight="1">
      <c r="B88" s="330" t="s">
        <v>76</v>
      </c>
      <c r="C88" s="331" t="s">
        <v>413</v>
      </c>
      <c r="D88" s="331"/>
      <c r="E88" s="332" t="s">
        <v>78</v>
      </c>
    </row>
    <row r="89" spans="2:5" ht="16.5">
      <c r="B89" s="330"/>
      <c r="C89" s="323">
        <v>100</v>
      </c>
      <c r="D89" s="323"/>
      <c r="E89" s="332"/>
    </row>
    <row r="90" spans="1:7" ht="18" customHeight="1">
      <c r="A90" s="67"/>
      <c r="B90" s="67"/>
      <c r="C90" s="67"/>
      <c r="D90" s="67"/>
      <c r="E90" s="144"/>
      <c r="F90" s="67"/>
      <c r="G90" s="67"/>
    </row>
    <row r="91" spans="1:3" ht="12.75">
      <c r="A91" s="333" t="s">
        <v>177</v>
      </c>
      <c r="B91" s="333"/>
      <c r="C91" s="333"/>
    </row>
    <row r="92" spans="1:3" ht="12.75">
      <c r="A92" s="333" t="s">
        <v>416</v>
      </c>
      <c r="B92" s="333"/>
      <c r="C92" s="333"/>
    </row>
    <row r="93" ht="12.75">
      <c r="B93" s="47" t="s">
        <v>415</v>
      </c>
    </row>
    <row r="94" spans="2:6" ht="12.75">
      <c r="B94" s="47" t="s">
        <v>418</v>
      </c>
      <c r="F94" t="s">
        <v>419</v>
      </c>
    </row>
  </sheetData>
  <sheetProtection selectLockedCells="1" selectUnlockedCells="1"/>
  <mergeCells count="107">
    <mergeCell ref="A14:B14"/>
    <mergeCell ref="A15:B15"/>
    <mergeCell ref="A2:G2"/>
    <mergeCell ref="A8:B8"/>
    <mergeCell ref="D8:D9"/>
    <mergeCell ref="E8:E9"/>
    <mergeCell ref="F8:F9"/>
    <mergeCell ref="G8:G9"/>
    <mergeCell ref="A9:B9"/>
    <mergeCell ref="F17:F18"/>
    <mergeCell ref="G17:G18"/>
    <mergeCell ref="A18:B18"/>
    <mergeCell ref="A11:B11"/>
    <mergeCell ref="D11:D15"/>
    <mergeCell ref="E11:E15"/>
    <mergeCell ref="F11:F15"/>
    <mergeCell ref="G11:G15"/>
    <mergeCell ref="A12:B12"/>
    <mergeCell ref="A13:B13"/>
    <mergeCell ref="A21:B21"/>
    <mergeCell ref="A22:B22"/>
    <mergeCell ref="A23:B23"/>
    <mergeCell ref="A17:B17"/>
    <mergeCell ref="D17:D18"/>
    <mergeCell ref="E17:E18"/>
    <mergeCell ref="E25:E27"/>
    <mergeCell ref="F25:F27"/>
    <mergeCell ref="G25:G27"/>
    <mergeCell ref="A26:B26"/>
    <mergeCell ref="A27:B27"/>
    <mergeCell ref="A20:B20"/>
    <mergeCell ref="D20:D23"/>
    <mergeCell ref="E20:E23"/>
    <mergeCell ref="F20:F23"/>
    <mergeCell ref="G20:G23"/>
    <mergeCell ref="A34:B35"/>
    <mergeCell ref="C34:C35"/>
    <mergeCell ref="D34:D35"/>
    <mergeCell ref="A31:B31"/>
    <mergeCell ref="A25:B25"/>
    <mergeCell ref="D25:D27"/>
    <mergeCell ref="A40:B40"/>
    <mergeCell ref="G40:G42"/>
    <mergeCell ref="A42:B42"/>
    <mergeCell ref="A32:B32"/>
    <mergeCell ref="A37:B37"/>
    <mergeCell ref="D37:D38"/>
    <mergeCell ref="E37:E38"/>
    <mergeCell ref="F37:F38"/>
    <mergeCell ref="G37:G38"/>
    <mergeCell ref="A38:B38"/>
    <mergeCell ref="A44:B44"/>
    <mergeCell ref="D44:D48"/>
    <mergeCell ref="E44:E48"/>
    <mergeCell ref="F44:F48"/>
    <mergeCell ref="G44:G48"/>
    <mergeCell ref="A45:B45"/>
    <mergeCell ref="A46:B46"/>
    <mergeCell ref="A47:B47"/>
    <mergeCell ref="A48:B48"/>
    <mergeCell ref="A50:B50"/>
    <mergeCell ref="D50:D52"/>
    <mergeCell ref="E50:E52"/>
    <mergeCell ref="F50:F52"/>
    <mergeCell ref="G50:G52"/>
    <mergeCell ref="A51:B51"/>
    <mergeCell ref="A52:B52"/>
    <mergeCell ref="A54:B54"/>
    <mergeCell ref="D54:D55"/>
    <mergeCell ref="E54:E55"/>
    <mergeCell ref="F54:F55"/>
    <mergeCell ref="G54:G55"/>
    <mergeCell ref="A55:B55"/>
    <mergeCell ref="G60:G61"/>
    <mergeCell ref="A61:B61"/>
    <mergeCell ref="A57:B57"/>
    <mergeCell ref="D57:D58"/>
    <mergeCell ref="E57:E58"/>
    <mergeCell ref="F57:F58"/>
    <mergeCell ref="G57:G58"/>
    <mergeCell ref="A58:B58"/>
    <mergeCell ref="C69:D69"/>
    <mergeCell ref="C70:D70"/>
    <mergeCell ref="A60:B60"/>
    <mergeCell ref="D60:D61"/>
    <mergeCell ref="E60:E61"/>
    <mergeCell ref="F60:F61"/>
    <mergeCell ref="A91:C91"/>
    <mergeCell ref="A92:C92"/>
    <mergeCell ref="B72:B73"/>
    <mergeCell ref="D72:D73"/>
    <mergeCell ref="B78:B79"/>
    <mergeCell ref="C78:C79"/>
    <mergeCell ref="D78:D79"/>
    <mergeCell ref="B83:B84"/>
    <mergeCell ref="C83:C84"/>
    <mergeCell ref="D83:D84"/>
    <mergeCell ref="E34:E35"/>
    <mergeCell ref="F34:F35"/>
    <mergeCell ref="B88:B89"/>
    <mergeCell ref="C88:D88"/>
    <mergeCell ref="E88:E89"/>
    <mergeCell ref="C89:D89"/>
    <mergeCell ref="A62:B62"/>
    <mergeCell ref="A64:C64"/>
    <mergeCell ref="A65:C65"/>
    <mergeCell ref="B69:B70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9" customWidth="1"/>
    <col min="6" max="6" width="15.7109375" style="0" bestFit="1" customWidth="1"/>
    <col min="7" max="7" width="12.00390625" style="0" hidden="1" customWidth="1"/>
  </cols>
  <sheetData>
    <row r="2" spans="1:7" ht="18">
      <c r="A2" s="306" t="s">
        <v>276</v>
      </c>
      <c r="B2" s="306"/>
      <c r="C2" s="306"/>
      <c r="D2" s="306"/>
      <c r="E2" s="306"/>
      <c r="F2" s="306"/>
      <c r="G2" s="306"/>
    </row>
    <row r="3" spans="1:7" ht="14.25" customHeight="1">
      <c r="A3" s="2"/>
      <c r="B3" s="2"/>
      <c r="C3" s="2"/>
      <c r="D3" s="2"/>
      <c r="E3" s="136"/>
      <c r="G3" s="2"/>
    </row>
    <row r="4" spans="1:7" ht="89.25">
      <c r="A4" s="3" t="s">
        <v>1</v>
      </c>
      <c r="B4" s="3" t="s">
        <v>2</v>
      </c>
      <c r="C4" s="48" t="s">
        <v>277</v>
      </c>
      <c r="D4" s="48" t="s">
        <v>278</v>
      </c>
      <c r="E4" s="137" t="s">
        <v>279</v>
      </c>
      <c r="F4" s="48" t="s">
        <v>117</v>
      </c>
      <c r="G4" s="48" t="s">
        <v>212</v>
      </c>
    </row>
    <row r="5" spans="1:7" s="1" customFormat="1" ht="15.75">
      <c r="A5" s="49">
        <v>1</v>
      </c>
      <c r="B5" s="50" t="s">
        <v>180</v>
      </c>
      <c r="C5" s="65">
        <v>269</v>
      </c>
      <c r="D5" s="51">
        <f>(2+C5/100)*F71</f>
        <v>19684.405741220664</v>
      </c>
      <c r="E5" s="51">
        <f>IF(D5&lt;$D$76,$D$76,IF(D5&gt;$D$81,$D$81,D5))</f>
        <v>19684.405741220664</v>
      </c>
      <c r="F5" s="51">
        <f>ROUND(E5,0)</f>
        <v>19684</v>
      </c>
      <c r="G5" s="52"/>
    </row>
    <row r="6" spans="1:7" s="1" customFormat="1" ht="15.75">
      <c r="A6" s="49">
        <v>2</v>
      </c>
      <c r="B6" s="50" t="s">
        <v>179</v>
      </c>
      <c r="C6" s="65">
        <v>401</v>
      </c>
      <c r="D6" s="51">
        <f>(2+C6/100)*F71</f>
        <v>25224.579638536503</v>
      </c>
      <c r="E6" s="51">
        <f>ROUND(IF(D6&lt;$D$76,$D$76,IF(D6&gt;$D$81,$D$81,D6)),2)</f>
        <v>25224.58</v>
      </c>
      <c r="F6" s="51">
        <f>ROUND(E6,0)</f>
        <v>25225</v>
      </c>
      <c r="G6" s="52"/>
    </row>
    <row r="7" spans="1:7" s="1" customFormat="1" ht="15.75">
      <c r="A7" s="4">
        <v>3</v>
      </c>
      <c r="B7" s="5" t="s">
        <v>181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3"/>
    </row>
    <row r="8" spans="1:7" ht="12.75">
      <c r="A8" s="307" t="s">
        <v>11</v>
      </c>
      <c r="B8" s="307"/>
      <c r="C8" s="66">
        <v>205</v>
      </c>
      <c r="D8" s="346"/>
      <c r="E8" s="346"/>
      <c r="F8" s="308"/>
      <c r="G8" s="325"/>
    </row>
    <row r="9" spans="1:7" ht="12.75">
      <c r="A9" s="307" t="s">
        <v>12</v>
      </c>
      <c r="B9" s="307"/>
      <c r="C9" s="60">
        <v>86</v>
      </c>
      <c r="D9" s="346"/>
      <c r="E9" s="346"/>
      <c r="F9" s="308"/>
      <c r="G9" s="325"/>
    </row>
    <row r="10" spans="1:7" s="1" customFormat="1" ht="25.5">
      <c r="A10" s="4">
        <v>4</v>
      </c>
      <c r="B10" s="5" t="s">
        <v>182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3"/>
    </row>
    <row r="11" spans="1:7" ht="12.75" customHeight="1">
      <c r="A11" s="307" t="s">
        <v>118</v>
      </c>
      <c r="B11" s="307"/>
      <c r="C11" s="60">
        <v>753</v>
      </c>
      <c r="D11" s="310"/>
      <c r="E11" s="310"/>
      <c r="F11" s="310"/>
      <c r="G11" s="325"/>
    </row>
    <row r="12" spans="1:7" ht="12.75" customHeight="1">
      <c r="A12" s="307" t="s">
        <v>15</v>
      </c>
      <c r="B12" s="307"/>
      <c r="C12" s="60">
        <v>0</v>
      </c>
      <c r="D12" s="310"/>
      <c r="E12" s="310"/>
      <c r="F12" s="310"/>
      <c r="G12" s="325"/>
    </row>
    <row r="13" spans="1:7" ht="12.75" customHeight="1">
      <c r="A13" s="307" t="s">
        <v>16</v>
      </c>
      <c r="B13" s="307"/>
      <c r="C13" s="60">
        <v>-1</v>
      </c>
      <c r="D13" s="310"/>
      <c r="E13" s="310"/>
      <c r="F13" s="310"/>
      <c r="G13" s="325"/>
    </row>
    <row r="14" spans="1:7" ht="12.75" customHeight="1">
      <c r="A14" s="307" t="s">
        <v>17</v>
      </c>
      <c r="B14" s="307"/>
      <c r="C14" s="60">
        <v>-7</v>
      </c>
      <c r="D14" s="310"/>
      <c r="E14" s="310"/>
      <c r="F14" s="310"/>
      <c r="G14" s="325"/>
    </row>
    <row r="15" spans="1:7" ht="12.75" customHeight="1">
      <c r="A15" s="307" t="s">
        <v>18</v>
      </c>
      <c r="B15" s="307"/>
      <c r="C15" s="60">
        <v>-4</v>
      </c>
      <c r="D15" s="310"/>
      <c r="E15" s="310"/>
      <c r="F15" s="310"/>
      <c r="G15" s="325"/>
    </row>
    <row r="16" spans="1:7" s="1" customFormat="1" ht="15.75">
      <c r="A16" s="4">
        <v>5</v>
      </c>
      <c r="B16" s="5" t="s">
        <v>183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3"/>
    </row>
    <row r="17" spans="1:7" ht="12.75" customHeight="1">
      <c r="A17" s="307" t="s">
        <v>20</v>
      </c>
      <c r="B17" s="307"/>
      <c r="C17" s="60">
        <v>282</v>
      </c>
      <c r="D17" s="310"/>
      <c r="E17" s="310"/>
      <c r="F17" s="310"/>
      <c r="G17" s="325"/>
    </row>
    <row r="18" spans="1:7" ht="12.75" customHeight="1">
      <c r="A18" s="307" t="s">
        <v>21</v>
      </c>
      <c r="B18" s="307"/>
      <c r="C18" s="60">
        <v>75</v>
      </c>
      <c r="D18" s="310"/>
      <c r="E18" s="310"/>
      <c r="F18" s="310"/>
      <c r="G18" s="325"/>
    </row>
    <row r="19" spans="1:7" s="1" customFormat="1" ht="15.75">
      <c r="A19" s="4">
        <v>6</v>
      </c>
      <c r="B19" s="5" t="s">
        <v>184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3"/>
    </row>
    <row r="20" spans="1:7" ht="12.75" customHeight="1">
      <c r="A20" s="307" t="s">
        <v>23</v>
      </c>
      <c r="B20" s="307"/>
      <c r="C20" s="60">
        <v>109</v>
      </c>
      <c r="D20" s="310"/>
      <c r="E20" s="310"/>
      <c r="F20" s="310"/>
      <c r="G20" s="325"/>
    </row>
    <row r="21" spans="1:7" ht="12.75" customHeight="1">
      <c r="A21" s="307" t="s">
        <v>24</v>
      </c>
      <c r="B21" s="307"/>
      <c r="C21" s="9">
        <v>12</v>
      </c>
      <c r="D21" s="310"/>
      <c r="E21" s="310"/>
      <c r="F21" s="310"/>
      <c r="G21" s="325"/>
    </row>
    <row r="22" spans="1:7" ht="12.75" customHeight="1">
      <c r="A22" s="307" t="s">
        <v>25</v>
      </c>
      <c r="B22" s="307"/>
      <c r="C22" s="9">
        <v>23</v>
      </c>
      <c r="D22" s="310"/>
      <c r="E22" s="310"/>
      <c r="F22" s="310"/>
      <c r="G22" s="325"/>
    </row>
    <row r="23" spans="1:7" ht="12.75" customHeight="1">
      <c r="A23" s="307" t="s">
        <v>26</v>
      </c>
      <c r="B23" s="307"/>
      <c r="C23" s="9">
        <v>10</v>
      </c>
      <c r="D23" s="310"/>
      <c r="E23" s="310"/>
      <c r="F23" s="310"/>
      <c r="G23" s="325"/>
    </row>
    <row r="24" spans="1:7" s="1" customFormat="1" ht="15.75">
      <c r="A24" s="4">
        <v>7</v>
      </c>
      <c r="B24" s="5" t="s">
        <v>185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3"/>
    </row>
    <row r="25" spans="1:7" ht="12.75" customHeight="1">
      <c r="A25" s="307" t="s">
        <v>28</v>
      </c>
      <c r="B25" s="307"/>
      <c r="C25" s="60">
        <v>85</v>
      </c>
      <c r="D25" s="310"/>
      <c r="E25" s="310"/>
      <c r="F25" s="310"/>
      <c r="G25" s="325"/>
    </row>
    <row r="26" spans="1:7" ht="12.75" customHeight="1">
      <c r="A26" s="307" t="s">
        <v>29</v>
      </c>
      <c r="B26" s="307"/>
      <c r="C26" s="60">
        <v>232</v>
      </c>
      <c r="D26" s="310"/>
      <c r="E26" s="310"/>
      <c r="F26" s="310"/>
      <c r="G26" s="325"/>
    </row>
    <row r="27" spans="1:7" ht="12.75" customHeight="1">
      <c r="A27" s="307" t="s">
        <v>30</v>
      </c>
      <c r="B27" s="307"/>
      <c r="C27" s="60">
        <v>143</v>
      </c>
      <c r="D27" s="310"/>
      <c r="E27" s="310"/>
      <c r="F27" s="310"/>
      <c r="G27" s="325"/>
    </row>
    <row r="28" spans="1:7" s="1" customFormat="1" ht="15.75">
      <c r="A28" s="4">
        <v>8</v>
      </c>
      <c r="B28" s="5" t="s">
        <v>186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3"/>
    </row>
    <row r="29" spans="1:7" s="1" customFormat="1" ht="15.75">
      <c r="A29" s="4">
        <v>9</v>
      </c>
      <c r="B29" s="5" t="s">
        <v>187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3"/>
    </row>
    <row r="30" spans="1:7" s="1" customFormat="1" ht="25.5">
      <c r="A30" s="4">
        <v>10</v>
      </c>
      <c r="B30" s="5" t="s">
        <v>188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3"/>
    </row>
    <row r="31" spans="1:7" s="1" customFormat="1" ht="12.75" customHeight="1">
      <c r="A31" s="307" t="s">
        <v>34</v>
      </c>
      <c r="B31" s="307"/>
      <c r="C31" s="60">
        <v>314</v>
      </c>
      <c r="D31" s="311"/>
      <c r="E31" s="311"/>
      <c r="F31" s="311"/>
      <c r="G31" s="347"/>
    </row>
    <row r="32" spans="1:7" ht="12.75" customHeight="1">
      <c r="A32" s="307" t="s">
        <v>35</v>
      </c>
      <c r="B32" s="307"/>
      <c r="C32" s="348">
        <v>249</v>
      </c>
      <c r="D32" s="311"/>
      <c r="E32" s="311"/>
      <c r="F32" s="311"/>
      <c r="G32" s="347"/>
    </row>
    <row r="33" spans="1:7" ht="7.5" customHeight="1">
      <c r="A33" s="307"/>
      <c r="B33" s="307"/>
      <c r="C33" s="348"/>
      <c r="D33" s="311"/>
      <c r="E33" s="311"/>
      <c r="F33" s="311"/>
      <c r="G33" s="347"/>
    </row>
    <row r="34" spans="1:7" ht="16.5" customHeight="1">
      <c r="A34" s="340" t="s">
        <v>36</v>
      </c>
      <c r="B34" s="341"/>
      <c r="C34" s="60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189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3"/>
    </row>
    <row r="36" spans="1:7" ht="15" customHeight="1">
      <c r="A36" s="307" t="s">
        <v>38</v>
      </c>
      <c r="B36" s="307"/>
      <c r="C36" s="60">
        <v>216</v>
      </c>
      <c r="D36" s="325"/>
      <c r="E36" s="325"/>
      <c r="F36" s="325"/>
      <c r="G36" s="325"/>
    </row>
    <row r="37" spans="1:7" ht="15" customHeight="1">
      <c r="A37" s="307" t="s">
        <v>25</v>
      </c>
      <c r="B37" s="307"/>
      <c r="C37" s="9">
        <v>-23</v>
      </c>
      <c r="D37" s="325"/>
      <c r="E37" s="325"/>
      <c r="F37" s="325"/>
      <c r="G37" s="325"/>
    </row>
    <row r="38" spans="1:7" s="1" customFormat="1" ht="15.75">
      <c r="A38" s="4">
        <v>12</v>
      </c>
      <c r="B38" s="5" t="s">
        <v>190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4"/>
    </row>
    <row r="39" spans="1:7" ht="12.75" customHeight="1">
      <c r="A39" s="307" t="s">
        <v>40</v>
      </c>
      <c r="B39" s="307"/>
      <c r="C39" s="60">
        <v>1082</v>
      </c>
      <c r="D39" s="343"/>
      <c r="E39" s="343"/>
      <c r="F39" s="343"/>
      <c r="G39" s="343"/>
    </row>
    <row r="40" spans="1:7" ht="12.75" customHeight="1">
      <c r="A40" s="307" t="s">
        <v>41</v>
      </c>
      <c r="B40" s="307"/>
      <c r="C40" s="60">
        <v>108</v>
      </c>
      <c r="D40" s="343"/>
      <c r="E40" s="343"/>
      <c r="F40" s="343"/>
      <c r="G40" s="343"/>
    </row>
    <row r="41" spans="1:7" s="1" customFormat="1" ht="15.75">
      <c r="A41" s="4">
        <v>13</v>
      </c>
      <c r="B41" s="5" t="s">
        <v>191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4"/>
    </row>
    <row r="42" spans="1:7" s="1" customFormat="1" ht="12.75" customHeight="1">
      <c r="A42" s="307" t="s">
        <v>43</v>
      </c>
      <c r="B42" s="307"/>
      <c r="C42" s="60">
        <v>457</v>
      </c>
      <c r="D42" s="311"/>
      <c r="E42" s="311"/>
      <c r="F42" s="311"/>
      <c r="G42" s="342"/>
    </row>
    <row r="43" spans="1:7" s="1" customFormat="1" ht="12.75" customHeight="1">
      <c r="A43" s="307" t="s">
        <v>44</v>
      </c>
      <c r="B43" s="307"/>
      <c r="C43" s="60">
        <v>20</v>
      </c>
      <c r="D43" s="311"/>
      <c r="E43" s="311"/>
      <c r="F43" s="311"/>
      <c r="G43" s="342"/>
    </row>
    <row r="44" spans="1:7" ht="12.75" customHeight="1">
      <c r="A44" s="307" t="s">
        <v>45</v>
      </c>
      <c r="B44" s="307"/>
      <c r="C44" s="60">
        <v>87</v>
      </c>
      <c r="D44" s="311"/>
      <c r="E44" s="311"/>
      <c r="F44" s="311"/>
      <c r="G44" s="342"/>
    </row>
    <row r="45" spans="1:7" ht="12.75" customHeight="1">
      <c r="A45" s="307" t="s">
        <v>46</v>
      </c>
      <c r="B45" s="307"/>
      <c r="C45" s="60">
        <v>209</v>
      </c>
      <c r="D45" s="311"/>
      <c r="E45" s="311"/>
      <c r="F45" s="311"/>
      <c r="G45" s="342"/>
    </row>
    <row r="46" spans="1:7" ht="12.75" customHeight="1">
      <c r="A46" s="307" t="s">
        <v>47</v>
      </c>
      <c r="B46" s="307"/>
      <c r="C46" s="60">
        <v>60</v>
      </c>
      <c r="D46" s="311"/>
      <c r="E46" s="311"/>
      <c r="F46" s="311"/>
      <c r="G46" s="342"/>
    </row>
    <row r="47" spans="1:7" s="15" customFormat="1" ht="15.75">
      <c r="A47" s="4">
        <v>14</v>
      </c>
      <c r="B47" s="5" t="s">
        <v>192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4"/>
    </row>
    <row r="48" spans="1:11" ht="12.75" customHeight="1">
      <c r="A48" s="307" t="s">
        <v>49</v>
      </c>
      <c r="B48" s="307"/>
      <c r="C48" s="60">
        <v>300</v>
      </c>
      <c r="D48" s="310"/>
      <c r="E48" s="310"/>
      <c r="F48" s="310"/>
      <c r="G48" s="325"/>
      <c r="H48" s="16"/>
      <c r="I48" s="16"/>
      <c r="J48" s="16"/>
      <c r="K48" s="16"/>
    </row>
    <row r="49" spans="1:11" ht="12.75" customHeight="1">
      <c r="A49" s="340" t="s">
        <v>178</v>
      </c>
      <c r="B49" s="341"/>
      <c r="C49" s="60">
        <v>9</v>
      </c>
      <c r="D49" s="310"/>
      <c r="E49" s="310"/>
      <c r="F49" s="310"/>
      <c r="G49" s="325"/>
      <c r="H49" s="16"/>
      <c r="I49" s="16"/>
      <c r="J49" s="16"/>
      <c r="K49" s="16"/>
    </row>
    <row r="50" spans="1:11" ht="12.75" customHeight="1">
      <c r="A50" s="307" t="s">
        <v>50</v>
      </c>
      <c r="B50" s="307"/>
      <c r="C50" s="60">
        <v>15</v>
      </c>
      <c r="D50" s="310"/>
      <c r="E50" s="310"/>
      <c r="F50" s="310"/>
      <c r="G50" s="325"/>
      <c r="H50" s="16"/>
      <c r="I50" s="16"/>
      <c r="J50" s="16"/>
      <c r="K50" s="16"/>
    </row>
    <row r="51" spans="1:7" s="15" customFormat="1" ht="15.75">
      <c r="A51" s="4">
        <v>15</v>
      </c>
      <c r="B51" s="5" t="s">
        <v>193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4"/>
    </row>
    <row r="52" spans="1:11" ht="12.75" customHeight="1">
      <c r="A52" s="307" t="s">
        <v>52</v>
      </c>
      <c r="B52" s="307"/>
      <c r="C52" s="60">
        <v>215</v>
      </c>
      <c r="D52" s="310"/>
      <c r="E52" s="310"/>
      <c r="F52" s="310"/>
      <c r="G52" s="325"/>
      <c r="H52" s="16"/>
      <c r="I52" s="16"/>
      <c r="J52" s="16"/>
      <c r="K52" s="16"/>
    </row>
    <row r="53" spans="1:11" ht="12.75" customHeight="1">
      <c r="A53" s="307" t="s">
        <v>53</v>
      </c>
      <c r="B53" s="307"/>
      <c r="C53" s="60">
        <v>33</v>
      </c>
      <c r="D53" s="310"/>
      <c r="E53" s="310"/>
      <c r="F53" s="310"/>
      <c r="G53" s="325"/>
      <c r="H53" s="16"/>
      <c r="I53" s="16"/>
      <c r="J53" s="16"/>
      <c r="K53" s="16"/>
    </row>
    <row r="54" spans="1:7" s="15" customFormat="1" ht="15.75">
      <c r="A54" s="4">
        <v>16</v>
      </c>
      <c r="B54" s="5" t="s">
        <v>194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4"/>
    </row>
    <row r="55" spans="1:11" ht="12.75" customHeight="1">
      <c r="A55" s="307" t="s">
        <v>55</v>
      </c>
      <c r="B55" s="307"/>
      <c r="C55" s="60">
        <v>377</v>
      </c>
      <c r="D55" s="310"/>
      <c r="E55" s="310"/>
      <c r="F55" s="310"/>
      <c r="G55" s="325"/>
      <c r="H55" s="16"/>
      <c r="I55" s="16"/>
      <c r="J55" s="16"/>
      <c r="K55" s="16"/>
    </row>
    <row r="56" spans="1:11" ht="12.75" customHeight="1">
      <c r="A56" s="307" t="s">
        <v>56</v>
      </c>
      <c r="B56" s="307"/>
      <c r="C56" s="60">
        <v>194</v>
      </c>
      <c r="D56" s="310"/>
      <c r="E56" s="310"/>
      <c r="F56" s="310"/>
      <c r="G56" s="325"/>
      <c r="H56" s="16"/>
      <c r="I56" s="16"/>
      <c r="J56" s="16"/>
      <c r="K56" s="16"/>
    </row>
    <row r="57" spans="1:7" s="15" customFormat="1" ht="15.75">
      <c r="A57" s="4">
        <v>17</v>
      </c>
      <c r="B57" s="5" t="s">
        <v>195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4"/>
    </row>
    <row r="58" spans="1:7" ht="12.75" customHeight="1">
      <c r="A58" s="307" t="s">
        <v>58</v>
      </c>
      <c r="B58" s="307"/>
      <c r="C58" s="60">
        <v>343</v>
      </c>
      <c r="D58" s="310"/>
      <c r="E58" s="339"/>
      <c r="F58" s="310"/>
      <c r="G58" s="325"/>
    </row>
    <row r="59" spans="1:7" ht="12.75" customHeight="1">
      <c r="A59" s="307" t="s">
        <v>59</v>
      </c>
      <c r="B59" s="307"/>
      <c r="C59" s="9">
        <v>-10</v>
      </c>
      <c r="D59" s="310"/>
      <c r="E59" s="339"/>
      <c r="F59" s="310"/>
      <c r="G59" s="325"/>
    </row>
    <row r="60" spans="1:7" ht="27.75" customHeight="1">
      <c r="A60" s="315" t="s">
        <v>60</v>
      </c>
      <c r="B60" s="315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5">
        <f>SUM(G5:G58)</f>
        <v>0</v>
      </c>
    </row>
    <row r="61" spans="1:7" s="16" customFormat="1" ht="9.75" customHeight="1">
      <c r="A61" s="68"/>
      <c r="B61" s="68"/>
      <c r="C61" s="69"/>
      <c r="D61" s="70"/>
      <c r="E61" s="138"/>
      <c r="F61" s="70"/>
      <c r="G61" s="71"/>
    </row>
    <row r="62" spans="1:7" s="16" customFormat="1" ht="15.75">
      <c r="A62" s="333" t="s">
        <v>177</v>
      </c>
      <c r="B62" s="333"/>
      <c r="C62" s="333"/>
      <c r="D62" s="70"/>
      <c r="E62" s="138"/>
      <c r="F62" s="70"/>
      <c r="G62" s="71"/>
    </row>
    <row r="63" spans="1:7" s="16" customFormat="1" ht="15.75">
      <c r="A63" s="333" t="s">
        <v>275</v>
      </c>
      <c r="B63" s="333"/>
      <c r="C63" s="333"/>
      <c r="D63" s="70"/>
      <c r="E63" s="138"/>
      <c r="F63" s="70"/>
      <c r="G63" s="71"/>
    </row>
    <row r="64" spans="1:7" s="16" customFormat="1" ht="15.75">
      <c r="A64" s="68"/>
      <c r="B64" s="68"/>
      <c r="C64" s="69"/>
      <c r="D64" s="70"/>
      <c r="E64" s="138"/>
      <c r="F64" s="70"/>
      <c r="G64" s="71"/>
    </row>
    <row r="65" ht="12.75">
      <c r="B65" s="1" t="s">
        <v>61</v>
      </c>
    </row>
    <row r="67" spans="2:4" ht="12.75">
      <c r="B67" s="316" t="s">
        <v>62</v>
      </c>
      <c r="C67" s="317" t="s">
        <v>272</v>
      </c>
      <c r="D67" s="317"/>
    </row>
    <row r="68" spans="2:5" ht="24.75" customHeight="1">
      <c r="B68" s="316"/>
      <c r="C68" s="338" t="s">
        <v>273</v>
      </c>
      <c r="D68" s="338"/>
      <c r="E68" s="140" t="s">
        <v>200</v>
      </c>
    </row>
    <row r="70" spans="2:4" ht="12.75">
      <c r="B70" s="316" t="s">
        <v>62</v>
      </c>
      <c r="C70" s="56">
        <v>77088162.1</v>
      </c>
      <c r="D70" s="334">
        <f>C70/C71</f>
        <v>4197.101437360483</v>
      </c>
    </row>
    <row r="71" spans="2:6" ht="15.75">
      <c r="B71" s="316"/>
      <c r="C71" s="57">
        <v>18367</v>
      </c>
      <c r="D71" s="334"/>
      <c r="E71" s="141">
        <f>ROUND(D70,2)</f>
        <v>4197.1</v>
      </c>
      <c r="F71" s="135">
        <f>D70</f>
        <v>4197.101437360483</v>
      </c>
    </row>
    <row r="72" spans="2:5" ht="27">
      <c r="B72" s="18"/>
      <c r="C72" s="57"/>
      <c r="D72" s="58"/>
      <c r="E72" s="141"/>
    </row>
    <row r="73" spans="3:4" ht="15.75">
      <c r="C73" s="57"/>
      <c r="D73" s="59"/>
    </row>
    <row r="74" ht="12.75">
      <c r="B74" s="1" t="s">
        <v>67</v>
      </c>
    </row>
    <row r="76" spans="2:5" ht="23.25" customHeight="1">
      <c r="B76" s="316" t="s">
        <v>119</v>
      </c>
      <c r="C76" s="335" t="s">
        <v>405</v>
      </c>
      <c r="D76" s="336">
        <f>2*E71</f>
        <v>8394.2</v>
      </c>
      <c r="E76" s="142"/>
    </row>
    <row r="77" spans="2:5" ht="12.75" customHeight="1">
      <c r="B77" s="316"/>
      <c r="C77" s="335"/>
      <c r="D77" s="337"/>
      <c r="E77" s="143"/>
    </row>
    <row r="79" ht="12.75">
      <c r="B79" s="1" t="s">
        <v>120</v>
      </c>
    </row>
    <row r="81" spans="2:5" ht="12.75" customHeight="1">
      <c r="B81" s="316" t="s">
        <v>121</v>
      </c>
      <c r="C81" s="335" t="s">
        <v>406</v>
      </c>
      <c r="D81" s="336">
        <f>10*F71</f>
        <v>41971.014373604834</v>
      </c>
      <c r="E81" s="142"/>
    </row>
    <row r="82" spans="2:5" ht="12.75" customHeight="1">
      <c r="B82" s="316"/>
      <c r="C82" s="335"/>
      <c r="D82" s="336"/>
      <c r="E82" s="142"/>
    </row>
    <row r="84" ht="12.75">
      <c r="B84" s="1" t="s">
        <v>75</v>
      </c>
    </row>
    <row r="86" spans="2:5" ht="27" customHeight="1">
      <c r="B86" s="330" t="s">
        <v>76</v>
      </c>
      <c r="C86" s="331" t="s">
        <v>274</v>
      </c>
      <c r="D86" s="331"/>
      <c r="E86" s="332" t="s">
        <v>78</v>
      </c>
    </row>
    <row r="87" spans="2:5" ht="16.5">
      <c r="B87" s="330"/>
      <c r="C87" s="323">
        <v>100</v>
      </c>
      <c r="D87" s="323"/>
      <c r="E87" s="332"/>
    </row>
    <row r="88" spans="1:7" ht="18" customHeight="1">
      <c r="A88" s="67"/>
      <c r="B88" s="67"/>
      <c r="C88" s="67"/>
      <c r="D88" s="67"/>
      <c r="E88" s="144"/>
      <c r="F88" s="67"/>
      <c r="G88" s="67"/>
    </row>
    <row r="89" spans="1:3" ht="12.75">
      <c r="A89" s="333" t="s">
        <v>177</v>
      </c>
      <c r="B89" s="333"/>
      <c r="C89" s="333"/>
    </row>
    <row r="90" spans="1:3" ht="12.75">
      <c r="A90" s="333" t="s">
        <v>275</v>
      </c>
      <c r="B90" s="333"/>
      <c r="C90" s="333"/>
    </row>
  </sheetData>
  <sheetProtection selectLockedCells="1" selectUnlockedCells="1"/>
  <mergeCells count="111">
    <mergeCell ref="B86:B87"/>
    <mergeCell ref="C86:D86"/>
    <mergeCell ref="E86:E87"/>
    <mergeCell ref="C87:D87"/>
    <mergeCell ref="B76:B77"/>
    <mergeCell ref="C76:C77"/>
    <mergeCell ref="B81:B82"/>
    <mergeCell ref="C81:C82"/>
    <mergeCell ref="A60:B60"/>
    <mergeCell ref="B67:B68"/>
    <mergeCell ref="C67:D67"/>
    <mergeCell ref="C68:D68"/>
    <mergeCell ref="B70:B71"/>
    <mergeCell ref="D70:D71"/>
    <mergeCell ref="A62:C62"/>
    <mergeCell ref="A63:C63"/>
    <mergeCell ref="A58:B58"/>
    <mergeCell ref="D58:D59"/>
    <mergeCell ref="E58:E59"/>
    <mergeCell ref="G58:G59"/>
    <mergeCell ref="F58:F59"/>
    <mergeCell ref="A59:B59"/>
    <mergeCell ref="A55:B55"/>
    <mergeCell ref="D55:D56"/>
    <mergeCell ref="E55:E56"/>
    <mergeCell ref="G55:G56"/>
    <mergeCell ref="F55:F56"/>
    <mergeCell ref="A56:B56"/>
    <mergeCell ref="A52:B52"/>
    <mergeCell ref="D52:D53"/>
    <mergeCell ref="E52:E53"/>
    <mergeCell ref="G52:G53"/>
    <mergeCell ref="F52:F53"/>
    <mergeCell ref="A53:B53"/>
    <mergeCell ref="A48:B48"/>
    <mergeCell ref="D48:D50"/>
    <mergeCell ref="E48:E50"/>
    <mergeCell ref="G48:G50"/>
    <mergeCell ref="F48:F50"/>
    <mergeCell ref="A50:B50"/>
    <mergeCell ref="A49:B49"/>
    <mergeCell ref="G42:G46"/>
    <mergeCell ref="F42:F46"/>
    <mergeCell ref="A43:B43"/>
    <mergeCell ref="A44:B44"/>
    <mergeCell ref="A45:B45"/>
    <mergeCell ref="A46:B46"/>
    <mergeCell ref="E42:E46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A31:B31"/>
    <mergeCell ref="D31:D33"/>
    <mergeCell ref="E31:E33"/>
    <mergeCell ref="G31:G33"/>
    <mergeCell ref="F31:F33"/>
    <mergeCell ref="A32:B33"/>
    <mergeCell ref="C32:C33"/>
    <mergeCell ref="A25:B25"/>
    <mergeCell ref="D25:D27"/>
    <mergeCell ref="E25:E27"/>
    <mergeCell ref="G25:G27"/>
    <mergeCell ref="F25:F27"/>
    <mergeCell ref="A26:B26"/>
    <mergeCell ref="A27:B27"/>
    <mergeCell ref="A20:B20"/>
    <mergeCell ref="D20:D23"/>
    <mergeCell ref="E20:E23"/>
    <mergeCell ref="G20:G23"/>
    <mergeCell ref="F20:F23"/>
    <mergeCell ref="A21:B21"/>
    <mergeCell ref="A22:B22"/>
    <mergeCell ref="A23:B23"/>
    <mergeCell ref="A17:B17"/>
    <mergeCell ref="D17:D18"/>
    <mergeCell ref="E17:E18"/>
    <mergeCell ref="G17:G18"/>
    <mergeCell ref="F17:F18"/>
    <mergeCell ref="A18:B18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2:G2"/>
    <mergeCell ref="A8:B8"/>
    <mergeCell ref="D8:D9"/>
    <mergeCell ref="E8:E9"/>
    <mergeCell ref="G8:G9"/>
    <mergeCell ref="F8:F9"/>
    <mergeCell ref="A9:B9"/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5"/>
  <sheetViews>
    <sheetView tabSelected="1" zoomScalePageLayoutView="0" workbookViewId="0" topLeftCell="A1">
      <selection activeCell="F253" sqref="F253"/>
    </sheetView>
  </sheetViews>
  <sheetFormatPr defaultColWidth="11.421875" defaultRowHeight="12.75"/>
  <cols>
    <col min="1" max="1" width="5.7109375" style="61" customWidth="1"/>
    <col min="2" max="2" width="7.7109375" style="61" customWidth="1"/>
    <col min="3" max="3" width="7.421875" style="61" customWidth="1"/>
    <col min="4" max="4" width="13.00390625" style="61" customWidth="1"/>
    <col min="5" max="5" width="48.57421875" style="61" customWidth="1"/>
    <col min="6" max="6" width="13.57421875" style="62" customWidth="1"/>
    <col min="7" max="251" width="11.57421875" style="63" customWidth="1"/>
  </cols>
  <sheetData>
    <row r="1" spans="1:6" ht="14.25" customHeight="1">
      <c r="A1" s="351" t="s">
        <v>479</v>
      </c>
      <c r="B1" s="352"/>
      <c r="C1" s="352"/>
      <c r="D1" s="352"/>
      <c r="E1" s="352"/>
      <c r="F1" s="352"/>
    </row>
    <row r="2" spans="1:6" ht="14.25" customHeight="1">
      <c r="A2" s="351" t="s">
        <v>480</v>
      </c>
      <c r="B2" s="352"/>
      <c r="C2" s="352"/>
      <c r="D2" s="352"/>
      <c r="E2" s="352"/>
      <c r="F2" s="352"/>
    </row>
    <row r="3" spans="1:6" ht="14.25" customHeight="1">
      <c r="A3" s="351" t="s">
        <v>481</v>
      </c>
      <c r="B3" s="352"/>
      <c r="C3" s="352"/>
      <c r="D3" s="352"/>
      <c r="E3" s="352"/>
      <c r="F3" s="352"/>
    </row>
    <row r="4" spans="1:6" ht="12.75">
      <c r="A4" s="302"/>
      <c r="B4" s="303"/>
      <c r="C4" s="303"/>
      <c r="D4" s="303"/>
      <c r="E4" s="303"/>
      <c r="F4" s="303"/>
    </row>
    <row r="5" spans="1:251" s="74" customFormat="1" ht="15.75">
      <c r="A5" s="353" t="s">
        <v>421</v>
      </c>
      <c r="B5" s="354"/>
      <c r="C5" s="354"/>
      <c r="D5" s="354"/>
      <c r="E5" s="354"/>
      <c r="F5" s="35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6" ht="24.75" customHeight="1">
      <c r="A6" s="304" t="s">
        <v>122</v>
      </c>
      <c r="B6" s="304" t="s">
        <v>123</v>
      </c>
      <c r="C6" s="304" t="s">
        <v>124</v>
      </c>
      <c r="D6" s="304" t="s">
        <v>125</v>
      </c>
      <c r="E6" s="304" t="s">
        <v>126</v>
      </c>
      <c r="F6" s="305" t="s">
        <v>482</v>
      </c>
    </row>
    <row r="7" spans="1:251" s="121" customFormat="1" ht="21.75" customHeight="1">
      <c r="A7" s="125" t="s">
        <v>197</v>
      </c>
      <c r="B7" s="125"/>
      <c r="C7" s="126"/>
      <c r="D7" s="126"/>
      <c r="E7" s="127" t="s">
        <v>199</v>
      </c>
      <c r="F7" s="266">
        <f>F8</f>
        <v>12386.869999999999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spans="1:251" s="121" customFormat="1" ht="16.5" customHeight="1">
      <c r="A8" s="360"/>
      <c r="B8" s="128" t="s">
        <v>198</v>
      </c>
      <c r="C8" s="129"/>
      <c r="D8" s="129"/>
      <c r="E8" s="130" t="s">
        <v>136</v>
      </c>
      <c r="F8" s="267">
        <f>F12+F9</f>
        <v>12386.869999999999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spans="1:251" s="121" customFormat="1" ht="17.25" customHeight="1">
      <c r="A9" s="361"/>
      <c r="B9" s="186"/>
      <c r="C9" s="97" t="s">
        <v>133</v>
      </c>
      <c r="D9" s="176"/>
      <c r="E9" s="100" t="s">
        <v>134</v>
      </c>
      <c r="F9" s="268">
        <f>F11</f>
        <v>6000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spans="1:251" s="84" customFormat="1" ht="12.75" hidden="1">
      <c r="A10" s="361"/>
      <c r="B10" s="186"/>
      <c r="C10" s="259"/>
      <c r="D10" s="91" t="s">
        <v>112</v>
      </c>
      <c r="E10" s="92" t="s">
        <v>227</v>
      </c>
      <c r="F10" s="269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84" customFormat="1" ht="24.75" customHeight="1">
      <c r="A11" s="361"/>
      <c r="B11" s="186"/>
      <c r="C11" s="260"/>
      <c r="D11" s="93" t="s">
        <v>14</v>
      </c>
      <c r="E11" s="94" t="s">
        <v>451</v>
      </c>
      <c r="F11" s="270">
        <v>6000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121" customFormat="1" ht="17.25" customHeight="1">
      <c r="A12" s="361"/>
      <c r="B12" s="364"/>
      <c r="C12" s="97" t="s">
        <v>225</v>
      </c>
      <c r="D12" s="176"/>
      <c r="E12" s="100" t="s">
        <v>259</v>
      </c>
      <c r="F12" s="268">
        <f>F13+F14+F15+F16</f>
        <v>6386.87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spans="1:251" s="84" customFormat="1" ht="12.75" hidden="1">
      <c r="A13" s="361"/>
      <c r="B13" s="365"/>
      <c r="C13" s="355"/>
      <c r="D13" s="91" t="s">
        <v>112</v>
      </c>
      <c r="E13" s="92" t="s">
        <v>227</v>
      </c>
      <c r="F13" s="270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84" customFormat="1" ht="17.25" customHeight="1">
      <c r="A14" s="361"/>
      <c r="B14" s="365"/>
      <c r="C14" s="356"/>
      <c r="D14" s="93" t="s">
        <v>11</v>
      </c>
      <c r="E14" s="94" t="s">
        <v>450</v>
      </c>
      <c r="F14" s="270">
        <v>6386.87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84" customFormat="1" ht="22.5" hidden="1">
      <c r="A15" s="361"/>
      <c r="B15" s="365"/>
      <c r="C15" s="356"/>
      <c r="D15" s="93" t="s">
        <v>14</v>
      </c>
      <c r="E15" s="95" t="s">
        <v>228</v>
      </c>
      <c r="F15" s="269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84" customFormat="1" ht="12.75" hidden="1">
      <c r="A16" s="361"/>
      <c r="B16" s="365"/>
      <c r="C16" s="357"/>
      <c r="D16" s="98"/>
      <c r="E16" s="86"/>
      <c r="F16" s="271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121" customFormat="1" ht="16.5" customHeight="1">
      <c r="A17" s="113" t="s">
        <v>127</v>
      </c>
      <c r="B17" s="113"/>
      <c r="C17" s="177"/>
      <c r="D17" s="113"/>
      <c r="E17" s="106" t="s">
        <v>128</v>
      </c>
      <c r="F17" s="272">
        <f>F18</f>
        <v>37100</v>
      </c>
      <c r="G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spans="1:251" s="121" customFormat="1" ht="16.5" customHeight="1">
      <c r="A18" s="107"/>
      <c r="B18" s="105" t="s">
        <v>129</v>
      </c>
      <c r="C18" s="102"/>
      <c r="D18" s="102"/>
      <c r="E18" s="103" t="s">
        <v>130</v>
      </c>
      <c r="F18" s="273">
        <f>F19+F27</f>
        <v>37100</v>
      </c>
      <c r="G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spans="1:251" s="121" customFormat="1" ht="16.5" customHeight="1">
      <c r="A19" s="110"/>
      <c r="B19" s="110"/>
      <c r="C19" s="99" t="s">
        <v>131</v>
      </c>
      <c r="D19" s="99"/>
      <c r="E19" s="100" t="s">
        <v>132</v>
      </c>
      <c r="F19" s="274">
        <f>SUM(F20:F26)</f>
        <v>2500</v>
      </c>
      <c r="G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spans="1:251" s="84" customFormat="1" ht="24.75" customHeight="1" hidden="1">
      <c r="A20" s="79"/>
      <c r="B20" s="79"/>
      <c r="C20" s="80"/>
      <c r="D20" s="89" t="s">
        <v>113</v>
      </c>
      <c r="E20" s="90" t="s">
        <v>229</v>
      </c>
      <c r="F20" s="275"/>
      <c r="G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84" customFormat="1" ht="18" customHeight="1">
      <c r="A21" s="79"/>
      <c r="B21" s="79"/>
      <c r="C21" s="80"/>
      <c r="D21" s="85" t="s">
        <v>38</v>
      </c>
      <c r="E21" s="86" t="s">
        <v>437</v>
      </c>
      <c r="F21" s="276">
        <v>2000</v>
      </c>
      <c r="G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84" customFormat="1" ht="19.5" customHeight="1" hidden="1">
      <c r="A22" s="79"/>
      <c r="B22" s="79"/>
      <c r="C22" s="80"/>
      <c r="D22" s="85" t="s">
        <v>23</v>
      </c>
      <c r="E22" s="86" t="s">
        <v>249</v>
      </c>
      <c r="F22" s="275"/>
      <c r="G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84" customFormat="1" ht="18.75" customHeight="1">
      <c r="A23" s="79"/>
      <c r="B23" s="79"/>
      <c r="C23" s="80"/>
      <c r="D23" s="85" t="s">
        <v>34</v>
      </c>
      <c r="E23" s="86" t="s">
        <v>290</v>
      </c>
      <c r="F23" s="277">
        <v>500</v>
      </c>
      <c r="G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84" customFormat="1" ht="18.75" customHeight="1" hidden="1">
      <c r="A24" s="79"/>
      <c r="B24" s="79"/>
      <c r="C24" s="80"/>
      <c r="D24" s="85" t="s">
        <v>115</v>
      </c>
      <c r="E24" s="86" t="s">
        <v>261</v>
      </c>
      <c r="F24" s="275"/>
      <c r="G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84" customFormat="1" ht="18.75" customHeight="1" hidden="1">
      <c r="A25" s="79"/>
      <c r="B25" s="79"/>
      <c r="C25" s="80"/>
      <c r="D25" s="85"/>
      <c r="E25" s="86"/>
      <c r="F25" s="275"/>
      <c r="G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84" customFormat="1" ht="18.75" customHeight="1" hidden="1">
      <c r="A26" s="79"/>
      <c r="B26" s="79"/>
      <c r="C26" s="80"/>
      <c r="D26" s="85" t="s">
        <v>55</v>
      </c>
      <c r="E26" s="86" t="s">
        <v>266</v>
      </c>
      <c r="F26" s="275"/>
      <c r="G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84" customFormat="1" ht="16.5" customHeight="1">
      <c r="A27" s="79"/>
      <c r="B27" s="79"/>
      <c r="C27" s="99" t="s">
        <v>133</v>
      </c>
      <c r="D27" s="99"/>
      <c r="E27" s="100" t="s">
        <v>134</v>
      </c>
      <c r="F27" s="274">
        <f>SUM(F28:F36)</f>
        <v>34600</v>
      </c>
      <c r="G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84" customFormat="1" ht="20.25" customHeight="1">
      <c r="A28" s="79"/>
      <c r="B28" s="79"/>
      <c r="C28" s="167"/>
      <c r="D28" s="85" t="s">
        <v>14</v>
      </c>
      <c r="E28" s="86" t="s">
        <v>224</v>
      </c>
      <c r="F28" s="277">
        <v>3000</v>
      </c>
      <c r="G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84" customFormat="1" ht="16.5" customHeight="1">
      <c r="A29" s="79"/>
      <c r="B29" s="79"/>
      <c r="C29" s="80"/>
      <c r="D29" s="89" t="s">
        <v>23</v>
      </c>
      <c r="E29" s="90" t="s">
        <v>284</v>
      </c>
      <c r="F29" s="277">
        <v>4000</v>
      </c>
      <c r="G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84" customFormat="1" ht="15" customHeight="1">
      <c r="A30" s="79"/>
      <c r="B30" s="79"/>
      <c r="C30" s="80"/>
      <c r="D30" s="89" t="s">
        <v>115</v>
      </c>
      <c r="E30" s="90" t="s">
        <v>430</v>
      </c>
      <c r="F30" s="277">
        <v>1000</v>
      </c>
      <c r="G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84" customFormat="1" ht="17.25" customHeight="1">
      <c r="A31" s="79"/>
      <c r="B31" s="79"/>
      <c r="C31" s="80"/>
      <c r="D31" s="89" t="s">
        <v>38</v>
      </c>
      <c r="E31" s="86" t="s">
        <v>437</v>
      </c>
      <c r="F31" s="276">
        <v>1000</v>
      </c>
      <c r="G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84" customFormat="1" ht="17.25" customHeight="1">
      <c r="A32" s="79"/>
      <c r="B32" s="79"/>
      <c r="C32" s="80"/>
      <c r="D32" s="89" t="s">
        <v>34</v>
      </c>
      <c r="E32" s="90" t="s">
        <v>196</v>
      </c>
      <c r="F32" s="277">
        <v>1500</v>
      </c>
      <c r="G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spans="1:251" s="84" customFormat="1" ht="17.25" customHeight="1">
      <c r="A33" s="79"/>
      <c r="B33" s="79"/>
      <c r="C33" s="80"/>
      <c r="D33" s="89" t="s">
        <v>40</v>
      </c>
      <c r="E33" s="90" t="s">
        <v>135</v>
      </c>
      <c r="F33" s="276">
        <v>2000</v>
      </c>
      <c r="G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84" customFormat="1" ht="12.75">
      <c r="A34" s="79"/>
      <c r="B34" s="79"/>
      <c r="C34" s="80"/>
      <c r="D34" s="89" t="s">
        <v>43</v>
      </c>
      <c r="E34" s="90" t="s">
        <v>475</v>
      </c>
      <c r="F34" s="276">
        <v>10000</v>
      </c>
      <c r="G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251" s="84" customFormat="1" ht="27.75" customHeight="1">
      <c r="A35" s="79"/>
      <c r="B35" s="79"/>
      <c r="C35" s="80"/>
      <c r="D35" s="173" t="s">
        <v>52</v>
      </c>
      <c r="E35" s="174" t="s">
        <v>436</v>
      </c>
      <c r="F35" s="276">
        <v>11100</v>
      </c>
      <c r="G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spans="1:251" s="84" customFormat="1" ht="12.75">
      <c r="A36" s="79"/>
      <c r="B36" s="79"/>
      <c r="C36" s="80"/>
      <c r="D36" s="147" t="s">
        <v>55</v>
      </c>
      <c r="E36" s="148" t="s">
        <v>424</v>
      </c>
      <c r="F36" s="278">
        <v>1000</v>
      </c>
      <c r="G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spans="1:251" s="84" customFormat="1" ht="18" customHeight="1">
      <c r="A37" s="184" t="s">
        <v>295</v>
      </c>
      <c r="B37" s="184"/>
      <c r="C37" s="184"/>
      <c r="D37" s="184"/>
      <c r="E37" s="185" t="s">
        <v>298</v>
      </c>
      <c r="F37" s="279">
        <f>F38</f>
        <v>3000</v>
      </c>
      <c r="G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</row>
    <row r="38" spans="1:251" s="84" customFormat="1" ht="18" customHeight="1">
      <c r="A38" s="186"/>
      <c r="B38" s="187" t="s">
        <v>296</v>
      </c>
      <c r="C38" s="187"/>
      <c r="D38" s="187"/>
      <c r="E38" s="188" t="s">
        <v>299</v>
      </c>
      <c r="F38" s="280">
        <f>F39</f>
        <v>3000</v>
      </c>
      <c r="G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</row>
    <row r="39" spans="1:251" s="84" customFormat="1" ht="20.25" customHeight="1">
      <c r="A39" s="79"/>
      <c r="B39" s="145"/>
      <c r="C39" s="180" t="s">
        <v>133</v>
      </c>
      <c r="D39" s="182"/>
      <c r="E39" s="183" t="s">
        <v>134</v>
      </c>
      <c r="F39" s="281">
        <f>F40</f>
        <v>3000</v>
      </c>
      <c r="G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</row>
    <row r="40" spans="1:251" s="84" customFormat="1" ht="20.25" customHeight="1">
      <c r="A40" s="79"/>
      <c r="B40" s="79"/>
      <c r="C40" s="80"/>
      <c r="D40" s="149" t="s">
        <v>35</v>
      </c>
      <c r="E40" s="150" t="s">
        <v>471</v>
      </c>
      <c r="F40" s="276">
        <v>3000</v>
      </c>
      <c r="G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</row>
    <row r="41" spans="1:251" s="121" customFormat="1" ht="16.5" customHeight="1">
      <c r="A41" s="113" t="s">
        <v>230</v>
      </c>
      <c r="B41" s="113"/>
      <c r="C41" s="113"/>
      <c r="D41" s="113"/>
      <c r="E41" s="106" t="s">
        <v>231</v>
      </c>
      <c r="F41" s="282">
        <f>F42</f>
        <v>25500</v>
      </c>
      <c r="G41" s="120"/>
      <c r="I41" s="258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</row>
    <row r="42" spans="1:251" s="121" customFormat="1" ht="16.5" customHeight="1">
      <c r="A42" s="107"/>
      <c r="B42" s="105" t="s">
        <v>232</v>
      </c>
      <c r="C42" s="102"/>
      <c r="D42" s="102"/>
      <c r="E42" s="103" t="s">
        <v>136</v>
      </c>
      <c r="F42" s="283">
        <f>F43+F46</f>
        <v>25500</v>
      </c>
      <c r="G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</row>
    <row r="43" spans="1:251" s="121" customFormat="1" ht="16.5" customHeight="1">
      <c r="A43" s="107"/>
      <c r="B43" s="114"/>
      <c r="C43" s="99" t="s">
        <v>131</v>
      </c>
      <c r="D43" s="99"/>
      <c r="E43" s="100" t="s">
        <v>132</v>
      </c>
      <c r="F43" s="284">
        <f>F44+F45</f>
        <v>13500</v>
      </c>
      <c r="G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</row>
    <row r="44" spans="1:251" s="121" customFormat="1" ht="16.5" customHeight="1">
      <c r="A44" s="107"/>
      <c r="B44" s="114"/>
      <c r="C44" s="369"/>
      <c r="D44" s="170" t="s">
        <v>112</v>
      </c>
      <c r="E44" s="169" t="s">
        <v>439</v>
      </c>
      <c r="F44" s="285">
        <v>12000</v>
      </c>
      <c r="G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</row>
    <row r="45" spans="1:251" s="121" customFormat="1" ht="16.5" customHeight="1">
      <c r="A45" s="107"/>
      <c r="B45" s="114"/>
      <c r="C45" s="370"/>
      <c r="D45" s="175" t="s">
        <v>20</v>
      </c>
      <c r="E45" s="169" t="s">
        <v>456</v>
      </c>
      <c r="F45" s="285">
        <v>1500</v>
      </c>
      <c r="G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</row>
    <row r="46" spans="1:251" s="121" customFormat="1" ht="16.5" customHeight="1">
      <c r="A46" s="110"/>
      <c r="B46" s="110"/>
      <c r="C46" s="97" t="s">
        <v>133</v>
      </c>
      <c r="D46" s="131"/>
      <c r="E46" s="132" t="s">
        <v>134</v>
      </c>
      <c r="F46" s="274">
        <f>F48+F47</f>
        <v>12000</v>
      </c>
      <c r="G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</row>
    <row r="47" spans="1:251" s="121" customFormat="1" ht="16.5" customHeight="1">
      <c r="A47" s="263"/>
      <c r="B47" s="114"/>
      <c r="C47" s="167"/>
      <c r="D47" s="118" t="s">
        <v>34</v>
      </c>
      <c r="E47" s="151" t="s">
        <v>422</v>
      </c>
      <c r="F47" s="285">
        <v>6000</v>
      </c>
      <c r="G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</row>
    <row r="48" spans="1:251" s="84" customFormat="1" ht="16.5" customHeight="1">
      <c r="A48" s="79"/>
      <c r="B48" s="79"/>
      <c r="C48" s="82"/>
      <c r="D48" s="89" t="s">
        <v>55</v>
      </c>
      <c r="E48" s="151" t="s">
        <v>420</v>
      </c>
      <c r="F48" s="276">
        <v>6000</v>
      </c>
      <c r="G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</row>
    <row r="49" spans="1:251" s="121" customFormat="1" ht="16.5" customHeight="1">
      <c r="A49" s="113" t="s">
        <v>137</v>
      </c>
      <c r="B49" s="113"/>
      <c r="C49" s="113"/>
      <c r="D49" s="113"/>
      <c r="E49" s="106" t="s">
        <v>138</v>
      </c>
      <c r="F49" s="272">
        <f>F50</f>
        <v>43000</v>
      </c>
      <c r="G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</row>
    <row r="50" spans="1:251" s="121" customFormat="1" ht="16.5" customHeight="1">
      <c r="A50" s="107"/>
      <c r="B50" s="105" t="s">
        <v>139</v>
      </c>
      <c r="C50" s="102"/>
      <c r="D50" s="102"/>
      <c r="E50" s="103" t="s">
        <v>140</v>
      </c>
      <c r="F50" s="273">
        <f>F51+F56+F58</f>
        <v>43000</v>
      </c>
      <c r="G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</row>
    <row r="51" spans="1:251" s="121" customFormat="1" ht="16.5" customHeight="1">
      <c r="A51" s="110"/>
      <c r="B51" s="110"/>
      <c r="C51" s="99" t="s">
        <v>131</v>
      </c>
      <c r="D51" s="99"/>
      <c r="E51" s="100" t="s">
        <v>132</v>
      </c>
      <c r="F51" s="274">
        <f>SUM(F52:F55)</f>
        <v>17000</v>
      </c>
      <c r="G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</row>
    <row r="52" spans="1:251" s="121" customFormat="1" ht="16.5" customHeight="1">
      <c r="A52" s="110"/>
      <c r="B52" s="110"/>
      <c r="C52" s="167"/>
      <c r="D52" s="85" t="s">
        <v>113</v>
      </c>
      <c r="E52" s="86" t="s">
        <v>291</v>
      </c>
      <c r="F52" s="276">
        <v>1000</v>
      </c>
      <c r="G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</row>
    <row r="53" spans="1:251" s="84" customFormat="1" ht="17.25" customHeight="1">
      <c r="A53" s="79"/>
      <c r="B53" s="79"/>
      <c r="C53" s="80"/>
      <c r="D53" s="85" t="s">
        <v>14</v>
      </c>
      <c r="E53" s="86" t="s">
        <v>282</v>
      </c>
      <c r="F53" s="277">
        <v>4500</v>
      </c>
      <c r="G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</row>
    <row r="54" spans="1:251" s="84" customFormat="1" ht="17.25" customHeight="1">
      <c r="A54" s="79"/>
      <c r="B54" s="79"/>
      <c r="C54" s="80"/>
      <c r="D54" s="85" t="s">
        <v>43</v>
      </c>
      <c r="E54" s="86" t="s">
        <v>270</v>
      </c>
      <c r="F54" s="276">
        <v>10000</v>
      </c>
      <c r="G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</row>
    <row r="55" spans="1:251" s="84" customFormat="1" ht="16.5" customHeight="1">
      <c r="A55" s="79"/>
      <c r="B55" s="79"/>
      <c r="C55" s="80"/>
      <c r="D55" s="85" t="s">
        <v>52</v>
      </c>
      <c r="E55" s="86" t="s">
        <v>141</v>
      </c>
      <c r="F55" s="276">
        <v>1500</v>
      </c>
      <c r="G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</row>
    <row r="56" spans="1:251" s="84" customFormat="1" ht="16.5" customHeight="1">
      <c r="A56" s="79"/>
      <c r="B56" s="145"/>
      <c r="C56" s="146" t="s">
        <v>292</v>
      </c>
      <c r="D56" s="152"/>
      <c r="E56" s="100" t="s">
        <v>444</v>
      </c>
      <c r="F56" s="274">
        <f>F57</f>
        <v>26000</v>
      </c>
      <c r="G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</row>
    <row r="57" spans="1:251" s="84" customFormat="1" ht="42" customHeight="1">
      <c r="A57" s="79"/>
      <c r="B57" s="79"/>
      <c r="C57" s="80"/>
      <c r="D57" s="85" t="s">
        <v>40</v>
      </c>
      <c r="E57" s="86" t="s">
        <v>476</v>
      </c>
      <c r="F57" s="276">
        <v>26000</v>
      </c>
      <c r="G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</row>
    <row r="58" spans="1:251" s="84" customFormat="1" ht="16.5" customHeight="1" hidden="1">
      <c r="A58" s="79"/>
      <c r="B58" s="145"/>
      <c r="C58" s="146" t="s">
        <v>225</v>
      </c>
      <c r="D58" s="152"/>
      <c r="E58" s="153" t="s">
        <v>226</v>
      </c>
      <c r="F58" s="286">
        <f>F59</f>
        <v>0</v>
      </c>
      <c r="G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</row>
    <row r="59" spans="1:251" s="84" customFormat="1" ht="16.5" customHeight="1" hidden="1">
      <c r="A59" s="79"/>
      <c r="B59" s="79"/>
      <c r="C59" s="80"/>
      <c r="D59" s="85" t="s">
        <v>40</v>
      </c>
      <c r="E59" s="86" t="s">
        <v>233</v>
      </c>
      <c r="F59" s="275"/>
      <c r="G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</row>
    <row r="60" spans="1:251" s="121" customFormat="1" ht="16.5" customHeight="1">
      <c r="A60" s="113" t="s">
        <v>142</v>
      </c>
      <c r="B60" s="113"/>
      <c r="C60" s="113"/>
      <c r="D60" s="113"/>
      <c r="E60" s="106" t="s">
        <v>143</v>
      </c>
      <c r="F60" s="272">
        <f>F65+F61</f>
        <v>11300</v>
      </c>
      <c r="G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</row>
    <row r="61" spans="1:251" s="121" customFormat="1" ht="16.5" customHeight="1">
      <c r="A61" s="114"/>
      <c r="B61" s="113" t="s">
        <v>234</v>
      </c>
      <c r="C61" s="113"/>
      <c r="D61" s="113"/>
      <c r="E61" s="106" t="s">
        <v>235</v>
      </c>
      <c r="F61" s="272">
        <f>F62</f>
        <v>10300</v>
      </c>
      <c r="G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</row>
    <row r="62" spans="1:251" s="121" customFormat="1" ht="16.5" customHeight="1">
      <c r="A62" s="114"/>
      <c r="B62" s="154"/>
      <c r="C62" s="99" t="s">
        <v>131</v>
      </c>
      <c r="D62" s="99"/>
      <c r="E62" s="100" t="s">
        <v>132</v>
      </c>
      <c r="F62" s="287">
        <f>F63+F64</f>
        <v>10300</v>
      </c>
      <c r="G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</row>
    <row r="63" spans="1:251" s="121" customFormat="1" ht="24.75" customHeight="1">
      <c r="A63" s="114"/>
      <c r="B63" s="154"/>
      <c r="C63" s="99"/>
      <c r="D63" s="85" t="s">
        <v>20</v>
      </c>
      <c r="E63" s="86" t="s">
        <v>294</v>
      </c>
      <c r="F63" s="285">
        <v>300</v>
      </c>
      <c r="G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</row>
    <row r="64" spans="1:251" s="121" customFormat="1" ht="24.75" customHeight="1">
      <c r="A64" s="114"/>
      <c r="B64" s="154"/>
      <c r="C64" s="99"/>
      <c r="D64" s="85" t="s">
        <v>43</v>
      </c>
      <c r="E64" s="86" t="s">
        <v>432</v>
      </c>
      <c r="F64" s="285">
        <v>10000</v>
      </c>
      <c r="G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</row>
    <row r="65" spans="1:251" s="121" customFormat="1" ht="16.5" customHeight="1">
      <c r="A65" s="107"/>
      <c r="B65" s="105" t="s">
        <v>442</v>
      </c>
      <c r="C65" s="102"/>
      <c r="D65" s="102"/>
      <c r="E65" s="103" t="s">
        <v>443</v>
      </c>
      <c r="F65" s="273">
        <f>F66</f>
        <v>1000</v>
      </c>
      <c r="G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  <c r="IQ65" s="120"/>
    </row>
    <row r="66" spans="1:251" s="121" customFormat="1" ht="16.5" customHeight="1">
      <c r="A66" s="110"/>
      <c r="B66" s="110"/>
      <c r="C66" s="99" t="s">
        <v>131</v>
      </c>
      <c r="D66" s="99"/>
      <c r="E66" s="132" t="s">
        <v>134</v>
      </c>
      <c r="F66" s="274">
        <f>SUM(F67:F70)</f>
        <v>1000</v>
      </c>
      <c r="G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</row>
    <row r="67" spans="1:251" s="84" customFormat="1" ht="27" customHeight="1">
      <c r="A67" s="79"/>
      <c r="B67" s="79"/>
      <c r="C67" s="80"/>
      <c r="D67" s="89" t="s">
        <v>113</v>
      </c>
      <c r="E67" s="90" t="s">
        <v>445</v>
      </c>
      <c r="F67" s="276">
        <v>1000</v>
      </c>
      <c r="G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</row>
    <row r="68" spans="1:251" s="84" customFormat="1" ht="12.75" hidden="1">
      <c r="A68" s="79"/>
      <c r="B68" s="79"/>
      <c r="C68" s="80"/>
      <c r="D68" s="89" t="s">
        <v>20</v>
      </c>
      <c r="E68" s="90" t="s">
        <v>236</v>
      </c>
      <c r="F68" s="275"/>
      <c r="G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</row>
    <row r="69" spans="1:251" s="84" customFormat="1" ht="12.75" hidden="1">
      <c r="A69" s="79"/>
      <c r="B69" s="79"/>
      <c r="C69" s="80"/>
      <c r="D69" s="89" t="s">
        <v>40</v>
      </c>
      <c r="E69" s="90" t="s">
        <v>207</v>
      </c>
      <c r="F69" s="275"/>
      <c r="G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</row>
    <row r="70" spans="1:251" s="84" customFormat="1" ht="12.75" hidden="1">
      <c r="A70" s="79"/>
      <c r="B70" s="79"/>
      <c r="C70" s="80"/>
      <c r="D70" s="89" t="s">
        <v>55</v>
      </c>
      <c r="E70" s="90" t="s">
        <v>237</v>
      </c>
      <c r="F70" s="275"/>
      <c r="G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</row>
    <row r="71" spans="1:251" s="121" customFormat="1" ht="16.5" customHeight="1">
      <c r="A71" s="113" t="s">
        <v>144</v>
      </c>
      <c r="B71" s="113"/>
      <c r="C71" s="113"/>
      <c r="D71" s="113"/>
      <c r="E71" s="106" t="s">
        <v>145</v>
      </c>
      <c r="F71" s="272">
        <f>F72+F96+F103+F106</f>
        <v>43922.06</v>
      </c>
      <c r="G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</row>
    <row r="72" spans="1:251" s="121" customFormat="1" ht="16.5" customHeight="1">
      <c r="A72" s="107"/>
      <c r="B72" s="105" t="s">
        <v>146</v>
      </c>
      <c r="C72" s="102"/>
      <c r="D72" s="102"/>
      <c r="E72" s="103" t="s">
        <v>147</v>
      </c>
      <c r="F72" s="273">
        <f>F75+F85+F93</f>
        <v>26200</v>
      </c>
      <c r="G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</row>
    <row r="73" spans="1:251" s="84" customFormat="1" ht="16.5" customHeight="1" hidden="1">
      <c r="A73" s="79"/>
      <c r="B73" s="79"/>
      <c r="C73" s="99" t="s">
        <v>159</v>
      </c>
      <c r="D73" s="99"/>
      <c r="E73" s="124" t="s">
        <v>160</v>
      </c>
      <c r="F73" s="274">
        <f>F74</f>
        <v>0</v>
      </c>
      <c r="G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</row>
    <row r="74" spans="1:251" s="84" customFormat="1" ht="27.75" customHeight="1" hidden="1">
      <c r="A74" s="79"/>
      <c r="B74" s="79"/>
      <c r="C74" s="82"/>
      <c r="D74" s="85" t="s">
        <v>55</v>
      </c>
      <c r="E74" s="86" t="s">
        <v>268</v>
      </c>
      <c r="F74" s="276"/>
      <c r="G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</row>
    <row r="75" spans="1:251" s="121" customFormat="1" ht="16.5" customHeight="1">
      <c r="A75" s="110"/>
      <c r="B75" s="110"/>
      <c r="C75" s="99" t="s">
        <v>131</v>
      </c>
      <c r="D75" s="99"/>
      <c r="E75" s="100" t="s">
        <v>132</v>
      </c>
      <c r="F75" s="274">
        <f>SUM(F76:F84)</f>
        <v>20500</v>
      </c>
      <c r="G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</row>
    <row r="76" spans="1:251" s="84" customFormat="1" ht="16.5" customHeight="1">
      <c r="A76" s="79"/>
      <c r="B76" s="79"/>
      <c r="C76" s="82"/>
      <c r="D76" s="89" t="s">
        <v>112</v>
      </c>
      <c r="E76" s="90" t="s">
        <v>174</v>
      </c>
      <c r="F76" s="277">
        <v>500</v>
      </c>
      <c r="G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</row>
    <row r="77" spans="1:251" s="84" customFormat="1" ht="33.75">
      <c r="A77" s="79"/>
      <c r="B77" s="79"/>
      <c r="C77" s="80"/>
      <c r="D77" s="85" t="s">
        <v>20</v>
      </c>
      <c r="E77" s="86" t="s">
        <v>459</v>
      </c>
      <c r="F77" s="277">
        <v>6100</v>
      </c>
      <c r="G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</row>
    <row r="78" spans="1:251" s="84" customFormat="1" ht="12.75" hidden="1">
      <c r="A78" s="79"/>
      <c r="B78" s="79"/>
      <c r="C78" s="80"/>
      <c r="D78" s="85"/>
      <c r="E78" s="86"/>
      <c r="F78" s="275"/>
      <c r="G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</row>
    <row r="79" spans="1:251" s="84" customFormat="1" ht="12.75" hidden="1">
      <c r="A79" s="79"/>
      <c r="B79" s="79"/>
      <c r="C79" s="80"/>
      <c r="D79" s="85" t="s">
        <v>114</v>
      </c>
      <c r="E79" s="86" t="s">
        <v>250</v>
      </c>
      <c r="F79" s="275"/>
      <c r="G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</row>
    <row r="80" spans="1:251" s="84" customFormat="1" ht="16.5" customHeight="1">
      <c r="A80" s="79"/>
      <c r="B80" s="79"/>
      <c r="C80" s="80"/>
      <c r="D80" s="85" t="s">
        <v>115</v>
      </c>
      <c r="E80" s="86" t="s">
        <v>213</v>
      </c>
      <c r="F80" s="277">
        <v>700</v>
      </c>
      <c r="G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</row>
    <row r="81" spans="1:251" s="84" customFormat="1" ht="16.5" customHeight="1">
      <c r="A81" s="79"/>
      <c r="B81" s="79"/>
      <c r="C81" s="80"/>
      <c r="D81" s="85" t="s">
        <v>40</v>
      </c>
      <c r="E81" s="122" t="s">
        <v>238</v>
      </c>
      <c r="F81" s="276">
        <v>3200</v>
      </c>
      <c r="G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</row>
    <row r="82" spans="1:251" s="84" customFormat="1" ht="16.5" customHeight="1">
      <c r="A82" s="79"/>
      <c r="B82" s="79"/>
      <c r="C82" s="80"/>
      <c r="D82" s="85" t="s">
        <v>52</v>
      </c>
      <c r="E82" s="122" t="s">
        <v>238</v>
      </c>
      <c r="F82" s="276">
        <v>2000</v>
      </c>
      <c r="G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</row>
    <row r="83" spans="1:251" s="84" customFormat="1" ht="18" customHeight="1">
      <c r="A83" s="79"/>
      <c r="B83" s="79"/>
      <c r="C83" s="80"/>
      <c r="D83" s="85" t="s">
        <v>55</v>
      </c>
      <c r="E83" s="122" t="s">
        <v>267</v>
      </c>
      <c r="F83" s="276">
        <v>3000</v>
      </c>
      <c r="G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/>
      <c r="II83" s="87"/>
      <c r="IJ83" s="87"/>
      <c r="IK83" s="87"/>
      <c r="IL83" s="87"/>
      <c r="IM83" s="87"/>
      <c r="IN83" s="87"/>
      <c r="IO83" s="87"/>
      <c r="IP83" s="87"/>
      <c r="IQ83" s="87"/>
    </row>
    <row r="84" spans="1:251" s="84" customFormat="1" ht="16.5" customHeight="1">
      <c r="A84" s="79"/>
      <c r="B84" s="79"/>
      <c r="C84" s="80"/>
      <c r="D84" s="85" t="s">
        <v>58</v>
      </c>
      <c r="E84" s="122" t="s">
        <v>217</v>
      </c>
      <c r="F84" s="276">
        <v>5000</v>
      </c>
      <c r="G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/>
      <c r="II84" s="87"/>
      <c r="IJ84" s="87"/>
      <c r="IK84" s="87"/>
      <c r="IL84" s="87"/>
      <c r="IM84" s="87"/>
      <c r="IN84" s="87"/>
      <c r="IO84" s="87"/>
      <c r="IP84" s="87"/>
      <c r="IQ84" s="87"/>
    </row>
    <row r="85" spans="1:251" s="84" customFormat="1" ht="16.5" customHeight="1">
      <c r="A85" s="79"/>
      <c r="B85" s="79"/>
      <c r="C85" s="123" t="s">
        <v>133</v>
      </c>
      <c r="D85" s="123"/>
      <c r="E85" s="100" t="s">
        <v>134</v>
      </c>
      <c r="F85" s="274">
        <f>F86+F89+F90+F91+F92+F87</f>
        <v>3200</v>
      </c>
      <c r="G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/>
      <c r="II85" s="87"/>
      <c r="IJ85" s="87"/>
      <c r="IK85" s="87"/>
      <c r="IL85" s="87"/>
      <c r="IM85" s="87"/>
      <c r="IN85" s="87"/>
      <c r="IO85" s="87"/>
      <c r="IP85" s="87"/>
      <c r="IQ85" s="87"/>
    </row>
    <row r="86" spans="1:251" s="84" customFormat="1" ht="16.5" customHeight="1">
      <c r="A86" s="145"/>
      <c r="B86" s="155"/>
      <c r="C86" s="355"/>
      <c r="D86" s="91" t="s">
        <v>112</v>
      </c>
      <c r="E86" s="122" t="s">
        <v>174</v>
      </c>
      <c r="F86" s="277">
        <v>500</v>
      </c>
      <c r="G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7"/>
      <c r="II86" s="87"/>
      <c r="IJ86" s="87"/>
      <c r="IK86" s="87"/>
      <c r="IL86" s="87"/>
      <c r="IM86" s="87"/>
      <c r="IN86" s="87"/>
      <c r="IO86" s="87"/>
      <c r="IP86" s="87"/>
      <c r="IQ86" s="87"/>
    </row>
    <row r="87" spans="1:251" s="84" customFormat="1" ht="16.5" customHeight="1">
      <c r="A87" s="145"/>
      <c r="B87" s="155"/>
      <c r="C87" s="356"/>
      <c r="D87" s="91" t="s">
        <v>115</v>
      </c>
      <c r="E87" s="86" t="s">
        <v>213</v>
      </c>
      <c r="F87" s="277">
        <v>300</v>
      </c>
      <c r="G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  <c r="II87" s="87"/>
      <c r="IJ87" s="87"/>
      <c r="IK87" s="87"/>
      <c r="IL87" s="87"/>
      <c r="IM87" s="87"/>
      <c r="IN87" s="87"/>
      <c r="IO87" s="87"/>
      <c r="IP87" s="87"/>
      <c r="IQ87" s="87"/>
    </row>
    <row r="88" spans="1:251" s="84" customFormat="1" ht="16.5" customHeight="1" hidden="1">
      <c r="A88" s="166"/>
      <c r="B88" s="165"/>
      <c r="C88" s="356"/>
      <c r="D88" s="91" t="s">
        <v>114</v>
      </c>
      <c r="E88" s="171" t="s">
        <v>250</v>
      </c>
      <c r="F88" s="275">
        <v>0</v>
      </c>
      <c r="G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  <c r="IO88" s="87"/>
      <c r="IP88" s="87"/>
      <c r="IQ88" s="87"/>
    </row>
    <row r="89" spans="1:251" s="84" customFormat="1" ht="16.5" customHeight="1">
      <c r="A89" s="145"/>
      <c r="B89" s="155"/>
      <c r="C89" s="356"/>
      <c r="D89" s="91" t="s">
        <v>40</v>
      </c>
      <c r="E89" s="122" t="s">
        <v>238</v>
      </c>
      <c r="F89" s="276">
        <v>1000</v>
      </c>
      <c r="G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</row>
    <row r="90" spans="1:251" s="84" customFormat="1" ht="16.5" customHeight="1">
      <c r="A90" s="166"/>
      <c r="B90" s="165"/>
      <c r="C90" s="356"/>
      <c r="D90" s="156" t="s">
        <v>52</v>
      </c>
      <c r="E90" s="122" t="s">
        <v>238</v>
      </c>
      <c r="F90" s="278">
        <v>600</v>
      </c>
      <c r="G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</row>
    <row r="91" spans="1:251" s="84" customFormat="1" ht="22.5" customHeight="1" hidden="1">
      <c r="A91" s="178"/>
      <c r="B91" s="181"/>
      <c r="C91" s="356"/>
      <c r="D91" s="156" t="s">
        <v>55</v>
      </c>
      <c r="E91" s="157" t="s">
        <v>300</v>
      </c>
      <c r="F91" s="288"/>
      <c r="G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/>
      <c r="II91" s="87"/>
      <c r="IJ91" s="87"/>
      <c r="IK91" s="87"/>
      <c r="IL91" s="87"/>
      <c r="IM91" s="87"/>
      <c r="IN91" s="87"/>
      <c r="IO91" s="87"/>
      <c r="IP91" s="87"/>
      <c r="IQ91" s="87"/>
    </row>
    <row r="92" spans="1:251" s="84" customFormat="1" ht="16.5" customHeight="1">
      <c r="A92" s="96"/>
      <c r="B92" s="358"/>
      <c r="C92" s="356"/>
      <c r="D92" s="156" t="s">
        <v>58</v>
      </c>
      <c r="E92" s="157" t="s">
        <v>210</v>
      </c>
      <c r="F92" s="278">
        <v>800</v>
      </c>
      <c r="G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  <c r="IO92" s="87"/>
      <c r="IP92" s="87"/>
      <c r="IQ92" s="87"/>
    </row>
    <row r="93" spans="1:251" s="84" customFormat="1" ht="16.5" customHeight="1">
      <c r="A93" s="145"/>
      <c r="B93" s="358"/>
      <c r="C93" s="146" t="s">
        <v>159</v>
      </c>
      <c r="D93" s="91"/>
      <c r="E93" s="161" t="s">
        <v>160</v>
      </c>
      <c r="F93" s="289">
        <f>F95+F94</f>
        <v>2500</v>
      </c>
      <c r="G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</row>
    <row r="94" spans="1:251" s="84" customFormat="1" ht="16.5" customHeight="1">
      <c r="A94" s="166"/>
      <c r="B94" s="358"/>
      <c r="C94" s="371"/>
      <c r="D94" s="91" t="s">
        <v>40</v>
      </c>
      <c r="E94" s="158" t="s">
        <v>238</v>
      </c>
      <c r="F94" s="290">
        <v>2500</v>
      </c>
      <c r="G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7"/>
      <c r="IN94" s="87"/>
      <c r="IO94" s="87"/>
      <c r="IP94" s="87"/>
      <c r="IQ94" s="87"/>
    </row>
    <row r="95" spans="1:251" s="84" customFormat="1" ht="26.25" customHeight="1" hidden="1">
      <c r="A95" s="145"/>
      <c r="B95" s="359"/>
      <c r="C95" s="372"/>
      <c r="D95" s="91" t="s">
        <v>55</v>
      </c>
      <c r="E95" s="158" t="s">
        <v>239</v>
      </c>
      <c r="F95" s="291"/>
      <c r="G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</row>
    <row r="96" spans="1:251" s="84" customFormat="1" ht="16.5" customHeight="1">
      <c r="A96" s="189"/>
      <c r="B96" s="190" t="s">
        <v>208</v>
      </c>
      <c r="C96" s="109"/>
      <c r="D96" s="159"/>
      <c r="E96" s="160" t="s">
        <v>209</v>
      </c>
      <c r="F96" s="273">
        <f>F97+F101</f>
        <v>16222.06</v>
      </c>
      <c r="G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  <c r="IO96" s="87"/>
      <c r="IP96" s="87"/>
      <c r="IQ96" s="87"/>
    </row>
    <row r="97" spans="1:251" s="84" customFormat="1" ht="16.5" customHeight="1">
      <c r="A97" s="110"/>
      <c r="B97" s="111"/>
      <c r="C97" s="97" t="s">
        <v>131</v>
      </c>
      <c r="D97" s="112"/>
      <c r="E97" s="100" t="s">
        <v>132</v>
      </c>
      <c r="F97" s="274">
        <f>F98+F100+F99</f>
        <v>16222.06</v>
      </c>
      <c r="G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</row>
    <row r="98" spans="1:251" s="84" customFormat="1" ht="16.5" customHeight="1">
      <c r="A98" s="79"/>
      <c r="B98" s="79"/>
      <c r="C98" s="101"/>
      <c r="D98" s="89" t="s">
        <v>20</v>
      </c>
      <c r="E98" s="90" t="s">
        <v>304</v>
      </c>
      <c r="F98" s="277">
        <v>11222.06</v>
      </c>
      <c r="G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</row>
    <row r="99" spans="1:251" s="84" customFormat="1" ht="16.5" customHeight="1">
      <c r="A99" s="79"/>
      <c r="B99" s="79"/>
      <c r="C99" s="101"/>
      <c r="D99" s="89" t="s">
        <v>28</v>
      </c>
      <c r="E99" s="90" t="s">
        <v>251</v>
      </c>
      <c r="F99" s="277">
        <v>5000</v>
      </c>
      <c r="G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</row>
    <row r="100" spans="1:251" s="84" customFormat="1" ht="16.5" customHeight="1" hidden="1">
      <c r="A100" s="79"/>
      <c r="B100" s="79"/>
      <c r="C100" s="101"/>
      <c r="D100" s="89" t="s">
        <v>34</v>
      </c>
      <c r="E100" s="90" t="s">
        <v>305</v>
      </c>
      <c r="F100" s="275"/>
      <c r="G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</row>
    <row r="101" spans="1:251" s="84" customFormat="1" ht="16.5" customHeight="1" hidden="1">
      <c r="A101" s="110"/>
      <c r="B101" s="111"/>
      <c r="C101" s="97" t="s">
        <v>133</v>
      </c>
      <c r="D101" s="112"/>
      <c r="E101" s="100" t="s">
        <v>134</v>
      </c>
      <c r="F101" s="274">
        <f>F102</f>
        <v>0</v>
      </c>
      <c r="G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7"/>
      <c r="HT101" s="87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</row>
    <row r="102" spans="1:251" s="84" customFormat="1" ht="16.5" customHeight="1" hidden="1">
      <c r="A102" s="79"/>
      <c r="B102" s="79"/>
      <c r="C102" s="101"/>
      <c r="D102" s="89" t="s">
        <v>34</v>
      </c>
      <c r="E102" s="90" t="s">
        <v>307</v>
      </c>
      <c r="F102" s="276">
        <v>0</v>
      </c>
      <c r="G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</row>
    <row r="103" spans="1:251" s="84" customFormat="1" ht="16.5" customHeight="1" hidden="1">
      <c r="A103" s="189"/>
      <c r="B103" s="190" t="s">
        <v>302</v>
      </c>
      <c r="C103" s="109"/>
      <c r="D103" s="159"/>
      <c r="E103" s="160" t="s">
        <v>303</v>
      </c>
      <c r="F103" s="273">
        <f>F104</f>
        <v>0</v>
      </c>
      <c r="G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</row>
    <row r="104" spans="1:251" s="84" customFormat="1" ht="16.5" customHeight="1" hidden="1">
      <c r="A104" s="110"/>
      <c r="B104" s="111"/>
      <c r="C104" s="97" t="s">
        <v>133</v>
      </c>
      <c r="D104" s="112"/>
      <c r="E104" s="100" t="s">
        <v>134</v>
      </c>
      <c r="F104" s="274">
        <f>F105</f>
        <v>0</v>
      </c>
      <c r="G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</row>
    <row r="105" spans="1:251" s="84" customFormat="1" ht="16.5" customHeight="1" hidden="1">
      <c r="A105" s="79"/>
      <c r="B105" s="79"/>
      <c r="C105" s="101"/>
      <c r="D105" s="89" t="s">
        <v>34</v>
      </c>
      <c r="E105" s="90" t="s">
        <v>306</v>
      </c>
      <c r="F105" s="276">
        <v>0</v>
      </c>
      <c r="G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/>
      <c r="II105" s="87"/>
      <c r="IJ105" s="87"/>
      <c r="IK105" s="87"/>
      <c r="IL105" s="87"/>
      <c r="IM105" s="87"/>
      <c r="IN105" s="87"/>
      <c r="IO105" s="87"/>
      <c r="IP105" s="87"/>
      <c r="IQ105" s="87"/>
    </row>
    <row r="106" spans="1:251" s="84" customFormat="1" ht="16.5" customHeight="1">
      <c r="A106" s="179"/>
      <c r="B106" s="108" t="s">
        <v>301</v>
      </c>
      <c r="C106" s="109"/>
      <c r="D106" s="159"/>
      <c r="E106" s="160" t="s">
        <v>136</v>
      </c>
      <c r="F106" s="283">
        <f>F107</f>
        <v>1500</v>
      </c>
      <c r="G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7"/>
      <c r="HT106" s="87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</row>
    <row r="107" spans="1:251" s="84" customFormat="1" ht="16.5" customHeight="1">
      <c r="A107" s="110"/>
      <c r="B107" s="111"/>
      <c r="C107" s="97" t="s">
        <v>131</v>
      </c>
      <c r="D107" s="112"/>
      <c r="E107" s="100" t="s">
        <v>132</v>
      </c>
      <c r="F107" s="292">
        <f>F108</f>
        <v>1500</v>
      </c>
      <c r="G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</row>
    <row r="108" spans="1:251" s="84" customFormat="1" ht="16.5" customHeight="1">
      <c r="A108" s="79"/>
      <c r="B108" s="79"/>
      <c r="C108" s="101"/>
      <c r="D108" s="89" t="s">
        <v>14</v>
      </c>
      <c r="E108" s="90" t="s">
        <v>283</v>
      </c>
      <c r="F108" s="277">
        <v>1500</v>
      </c>
      <c r="G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</row>
    <row r="109" spans="1:251" s="121" customFormat="1" ht="16.5" customHeight="1">
      <c r="A109" s="113" t="s">
        <v>148</v>
      </c>
      <c r="B109" s="113"/>
      <c r="C109" s="113"/>
      <c r="D109" s="113"/>
      <c r="E109" s="106" t="s">
        <v>149</v>
      </c>
      <c r="F109" s="272">
        <f>F110+F115+F159+F162</f>
        <v>197983.38</v>
      </c>
      <c r="G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</row>
    <row r="110" spans="1:251" s="121" customFormat="1" ht="16.5" customHeight="1" hidden="1">
      <c r="A110" s="107"/>
      <c r="B110" s="105" t="s">
        <v>262</v>
      </c>
      <c r="C110" s="102"/>
      <c r="D110" s="102"/>
      <c r="E110" s="103" t="s">
        <v>263</v>
      </c>
      <c r="F110" s="293">
        <f>F111+F113</f>
        <v>0</v>
      </c>
      <c r="G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  <c r="IQ110" s="120"/>
    </row>
    <row r="111" spans="1:251" s="121" customFormat="1" ht="16.5" customHeight="1" hidden="1">
      <c r="A111" s="366"/>
      <c r="B111" s="367"/>
      <c r="C111" s="99" t="s">
        <v>131</v>
      </c>
      <c r="D111" s="99"/>
      <c r="E111" s="100" t="s">
        <v>132</v>
      </c>
      <c r="F111" s="294"/>
      <c r="G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</row>
    <row r="112" spans="1:251" s="121" customFormat="1" ht="16.5" customHeight="1" hidden="1">
      <c r="A112" s="366"/>
      <c r="B112" s="368"/>
      <c r="C112" s="154"/>
      <c r="D112" s="172" t="s">
        <v>38</v>
      </c>
      <c r="E112" s="151" t="s">
        <v>264</v>
      </c>
      <c r="F112" s="295"/>
      <c r="G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</row>
    <row r="113" spans="1:251" s="84" customFormat="1" ht="16.5" customHeight="1" hidden="1">
      <c r="A113" s="366"/>
      <c r="B113" s="368"/>
      <c r="C113" s="97" t="s">
        <v>133</v>
      </c>
      <c r="D113" s="112"/>
      <c r="E113" s="100" t="s">
        <v>134</v>
      </c>
      <c r="F113" s="286">
        <f>F114</f>
        <v>0</v>
      </c>
      <c r="G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</row>
    <row r="114" spans="1:251" s="84" customFormat="1" ht="16.5" customHeight="1" hidden="1">
      <c r="A114" s="366"/>
      <c r="B114" s="79"/>
      <c r="C114" s="101"/>
      <c r="D114" s="89" t="s">
        <v>38</v>
      </c>
      <c r="E114" s="151" t="s">
        <v>264</v>
      </c>
      <c r="F114" s="275"/>
      <c r="G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</row>
    <row r="115" spans="1:251" s="121" customFormat="1" ht="16.5" customHeight="1">
      <c r="A115" s="366"/>
      <c r="B115" s="105" t="s">
        <v>150</v>
      </c>
      <c r="C115" s="102"/>
      <c r="D115" s="102"/>
      <c r="E115" s="103" t="s">
        <v>151</v>
      </c>
      <c r="F115" s="273">
        <f>F125+F140+F143+F155+F157+F120+F118+F116</f>
        <v>115971.70999999999</v>
      </c>
      <c r="G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</row>
    <row r="116" spans="1:251" s="121" customFormat="1" ht="16.5" customHeight="1" hidden="1">
      <c r="A116" s="110"/>
      <c r="B116" s="110"/>
      <c r="C116" s="99" t="s">
        <v>170</v>
      </c>
      <c r="D116" s="99"/>
      <c r="E116" s="100" t="s">
        <v>172</v>
      </c>
      <c r="F116" s="286">
        <f>SUM(F117:F117)</f>
        <v>0</v>
      </c>
      <c r="G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</row>
    <row r="117" spans="1:251" s="84" customFormat="1" ht="16.5" customHeight="1" hidden="1">
      <c r="A117" s="79"/>
      <c r="B117" s="79"/>
      <c r="C117" s="82"/>
      <c r="D117" s="85" t="s">
        <v>175</v>
      </c>
      <c r="E117" s="86" t="s">
        <v>203</v>
      </c>
      <c r="F117" s="275">
        <v>0</v>
      </c>
      <c r="G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7"/>
      <c r="IM117" s="87"/>
      <c r="IN117" s="87"/>
      <c r="IO117" s="87"/>
      <c r="IP117" s="87"/>
      <c r="IQ117" s="87"/>
    </row>
    <row r="118" spans="1:251" s="84" customFormat="1" ht="16.5" customHeight="1" hidden="1">
      <c r="A118" s="79"/>
      <c r="B118" s="79"/>
      <c r="C118" s="99" t="s">
        <v>171</v>
      </c>
      <c r="D118" s="99"/>
      <c r="E118" s="100" t="s">
        <v>173</v>
      </c>
      <c r="F118" s="286">
        <f>SUM(F119:F119)</f>
        <v>0</v>
      </c>
      <c r="G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/>
      <c r="HN118" s="87"/>
      <c r="HO118" s="87"/>
      <c r="HP118" s="87"/>
      <c r="HQ118" s="87"/>
      <c r="HR118" s="87"/>
      <c r="HS118" s="87"/>
      <c r="HT118" s="87"/>
      <c r="HU118" s="87"/>
      <c r="HV118" s="87"/>
      <c r="HW118" s="87"/>
      <c r="HX118" s="87"/>
      <c r="HY118" s="87"/>
      <c r="HZ118" s="87"/>
      <c r="IA118" s="87"/>
      <c r="IB118" s="87"/>
      <c r="IC118" s="87"/>
      <c r="ID118" s="87"/>
      <c r="IE118" s="87"/>
      <c r="IF118" s="87"/>
      <c r="IG118" s="87"/>
      <c r="IH118" s="87"/>
      <c r="II118" s="87"/>
      <c r="IJ118" s="87"/>
      <c r="IK118" s="87"/>
      <c r="IL118" s="87"/>
      <c r="IM118" s="87"/>
      <c r="IN118" s="87"/>
      <c r="IO118" s="87"/>
      <c r="IP118" s="87"/>
      <c r="IQ118" s="87"/>
    </row>
    <row r="119" spans="1:251" s="84" customFormat="1" ht="16.5" customHeight="1" hidden="1">
      <c r="A119" s="79"/>
      <c r="B119" s="79"/>
      <c r="C119" s="82"/>
      <c r="D119" s="85" t="s">
        <v>175</v>
      </c>
      <c r="E119" s="86" t="s">
        <v>203</v>
      </c>
      <c r="F119" s="275"/>
      <c r="G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  <c r="IL119" s="87"/>
      <c r="IM119" s="87"/>
      <c r="IN119" s="87"/>
      <c r="IO119" s="87"/>
      <c r="IP119" s="87"/>
      <c r="IQ119" s="87"/>
    </row>
    <row r="120" spans="1:251" s="84" customFormat="1" ht="16.5" customHeight="1">
      <c r="A120" s="79"/>
      <c r="B120" s="79"/>
      <c r="C120" s="99" t="s">
        <v>159</v>
      </c>
      <c r="D120" s="99"/>
      <c r="E120" s="124" t="s">
        <v>160</v>
      </c>
      <c r="F120" s="274">
        <f>SUM(F121:F124)</f>
        <v>15300</v>
      </c>
      <c r="G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  <c r="GR120" s="87"/>
      <c r="GS120" s="87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  <c r="HL120" s="87"/>
      <c r="HM120" s="87"/>
      <c r="HN120" s="87"/>
      <c r="HO120" s="87"/>
      <c r="HP120" s="87"/>
      <c r="HQ120" s="87"/>
      <c r="HR120" s="87"/>
      <c r="HS120" s="87"/>
      <c r="HT120" s="87"/>
      <c r="HU120" s="87"/>
      <c r="HV120" s="87"/>
      <c r="HW120" s="87"/>
      <c r="HX120" s="87"/>
      <c r="HY120" s="87"/>
      <c r="HZ120" s="87"/>
      <c r="IA120" s="87"/>
      <c r="IB120" s="87"/>
      <c r="IC120" s="87"/>
      <c r="ID120" s="87"/>
      <c r="IE120" s="87"/>
      <c r="IF120" s="87"/>
      <c r="IG120" s="87"/>
      <c r="IH120" s="87"/>
      <c r="II120" s="87"/>
      <c r="IJ120" s="87"/>
      <c r="IK120" s="87"/>
      <c r="IL120" s="87"/>
      <c r="IM120" s="87"/>
      <c r="IN120" s="87"/>
      <c r="IO120" s="87"/>
      <c r="IP120" s="87"/>
      <c r="IQ120" s="87"/>
    </row>
    <row r="121" spans="1:251" s="84" customFormat="1" ht="16.5" customHeight="1">
      <c r="A121" s="79"/>
      <c r="B121" s="79"/>
      <c r="C121" s="82"/>
      <c r="D121" s="85" t="s">
        <v>175</v>
      </c>
      <c r="E121" s="86" t="s">
        <v>176</v>
      </c>
      <c r="F121" s="277">
        <f>3500+1600</f>
        <v>5100</v>
      </c>
      <c r="G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7"/>
      <c r="HY121" s="87"/>
      <c r="HZ121" s="87"/>
      <c r="IA121" s="87"/>
      <c r="IB121" s="87"/>
      <c r="IC121" s="87"/>
      <c r="ID121" s="87"/>
      <c r="IE121" s="87"/>
      <c r="IF121" s="87"/>
      <c r="IG121" s="87"/>
      <c r="IH121" s="87"/>
      <c r="II121" s="87"/>
      <c r="IJ121" s="87"/>
      <c r="IK121" s="87"/>
      <c r="IL121" s="87"/>
      <c r="IM121" s="87"/>
      <c r="IN121" s="87"/>
      <c r="IO121" s="87"/>
      <c r="IP121" s="87"/>
      <c r="IQ121" s="87"/>
    </row>
    <row r="122" spans="1:251" s="84" customFormat="1" ht="16.5" customHeight="1">
      <c r="A122" s="79"/>
      <c r="B122" s="79"/>
      <c r="C122" s="82"/>
      <c r="D122" s="85" t="s">
        <v>49</v>
      </c>
      <c r="E122" s="86" t="s">
        <v>403</v>
      </c>
      <c r="F122" s="276">
        <v>2000</v>
      </c>
      <c r="G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87"/>
      <c r="HZ122" s="87"/>
      <c r="IA122" s="87"/>
      <c r="IB122" s="87"/>
      <c r="IC122" s="87"/>
      <c r="ID122" s="87"/>
      <c r="IE122" s="87"/>
      <c r="IF122" s="87"/>
      <c r="IG122" s="87"/>
      <c r="IH122" s="87"/>
      <c r="II122" s="87"/>
      <c r="IJ122" s="87"/>
      <c r="IK122" s="87"/>
      <c r="IL122" s="87"/>
      <c r="IM122" s="87"/>
      <c r="IN122" s="87"/>
      <c r="IO122" s="87"/>
      <c r="IP122" s="87"/>
      <c r="IQ122" s="87"/>
    </row>
    <row r="123" spans="1:251" s="84" customFormat="1" ht="16.5" customHeight="1">
      <c r="A123" s="79"/>
      <c r="B123" s="79"/>
      <c r="C123" s="82"/>
      <c r="D123" s="85" t="s">
        <v>52</v>
      </c>
      <c r="E123" s="86" t="s">
        <v>271</v>
      </c>
      <c r="F123" s="276">
        <v>1700</v>
      </c>
      <c r="G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  <c r="IH123" s="87"/>
      <c r="II123" s="87"/>
      <c r="IJ123" s="87"/>
      <c r="IK123" s="87"/>
      <c r="IL123" s="87"/>
      <c r="IM123" s="87"/>
      <c r="IN123" s="87"/>
      <c r="IO123" s="87"/>
      <c r="IP123" s="87"/>
      <c r="IQ123" s="87"/>
    </row>
    <row r="124" spans="1:251" s="84" customFormat="1" ht="16.5" customHeight="1">
      <c r="A124" s="79"/>
      <c r="B124" s="79"/>
      <c r="C124" s="80"/>
      <c r="D124" s="85" t="s">
        <v>55</v>
      </c>
      <c r="E124" s="86" t="s">
        <v>425</v>
      </c>
      <c r="F124" s="276">
        <f>3000+3500</f>
        <v>6500</v>
      </c>
      <c r="G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  <c r="GR124" s="87"/>
      <c r="GS124" s="87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  <c r="HL124" s="87"/>
      <c r="HM124" s="87"/>
      <c r="HN124" s="87"/>
      <c r="HO124" s="87"/>
      <c r="HP124" s="87"/>
      <c r="HQ124" s="87"/>
      <c r="HR124" s="87"/>
      <c r="HS124" s="87"/>
      <c r="HT124" s="87"/>
      <c r="HU124" s="87"/>
      <c r="HV124" s="87"/>
      <c r="HW124" s="87"/>
      <c r="HX124" s="87"/>
      <c r="HY124" s="87"/>
      <c r="HZ124" s="87"/>
      <c r="IA124" s="87"/>
      <c r="IB124" s="87"/>
      <c r="IC124" s="87"/>
      <c r="ID124" s="87"/>
      <c r="IE124" s="87"/>
      <c r="IF124" s="87"/>
      <c r="IG124" s="87"/>
      <c r="IH124" s="87"/>
      <c r="II124" s="87"/>
      <c r="IJ124" s="87"/>
      <c r="IK124" s="87"/>
      <c r="IL124" s="87"/>
      <c r="IM124" s="87"/>
      <c r="IN124" s="87"/>
      <c r="IO124" s="87"/>
      <c r="IP124" s="87"/>
      <c r="IQ124" s="87"/>
    </row>
    <row r="125" spans="1:251" s="84" customFormat="1" ht="16.5" customHeight="1">
      <c r="A125" s="79"/>
      <c r="B125" s="79"/>
      <c r="C125" s="99" t="s">
        <v>131</v>
      </c>
      <c r="D125" s="99"/>
      <c r="E125" s="100" t="s">
        <v>132</v>
      </c>
      <c r="F125" s="274">
        <f>F126+F127+F128+F130+F131+F132+F133+F134+F135+F136+F137+F138+F139</f>
        <v>62887.13</v>
      </c>
      <c r="G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  <c r="IL125" s="87"/>
      <c r="IM125" s="87"/>
      <c r="IN125" s="87"/>
      <c r="IO125" s="87"/>
      <c r="IP125" s="87"/>
      <c r="IQ125" s="87"/>
    </row>
    <row r="126" spans="1:251" s="84" customFormat="1" ht="16.5" customHeight="1">
      <c r="A126" s="79"/>
      <c r="B126" s="79"/>
      <c r="C126" s="82"/>
      <c r="D126" s="89" t="s">
        <v>112</v>
      </c>
      <c r="E126" s="90" t="s">
        <v>308</v>
      </c>
      <c r="F126" s="277">
        <v>3610.18</v>
      </c>
      <c r="G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</row>
    <row r="127" spans="1:251" s="84" customFormat="1" ht="16.5" customHeight="1">
      <c r="A127" s="79"/>
      <c r="B127" s="79"/>
      <c r="C127" s="82"/>
      <c r="D127" s="89" t="s">
        <v>11</v>
      </c>
      <c r="E127" s="90" t="s">
        <v>240</v>
      </c>
      <c r="F127" s="277">
        <v>1000</v>
      </c>
      <c r="G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/>
      <c r="II127" s="87"/>
      <c r="IJ127" s="87"/>
      <c r="IK127" s="87"/>
      <c r="IL127" s="87"/>
      <c r="IM127" s="87"/>
      <c r="IN127" s="87"/>
      <c r="IO127" s="87"/>
      <c r="IP127" s="87"/>
      <c r="IQ127" s="87"/>
    </row>
    <row r="128" spans="1:251" s="84" customFormat="1" ht="64.5" customHeight="1">
      <c r="A128" s="79"/>
      <c r="B128" s="79"/>
      <c r="C128" s="80"/>
      <c r="D128" s="89" t="s">
        <v>14</v>
      </c>
      <c r="E128" s="90" t="s">
        <v>483</v>
      </c>
      <c r="F128" s="277">
        <v>6000</v>
      </c>
      <c r="G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  <c r="HL128" s="87"/>
      <c r="HM128" s="87"/>
      <c r="HN128" s="87"/>
      <c r="HO128" s="87"/>
      <c r="HP128" s="87"/>
      <c r="HQ128" s="87"/>
      <c r="HR128" s="87"/>
      <c r="HS128" s="87"/>
      <c r="HT128" s="87"/>
      <c r="HU128" s="87"/>
      <c r="HV128" s="87"/>
      <c r="HW128" s="87"/>
      <c r="HX128" s="87"/>
      <c r="HY128" s="87"/>
      <c r="HZ128" s="87"/>
      <c r="IA128" s="87"/>
      <c r="IB128" s="87"/>
      <c r="IC128" s="87"/>
      <c r="ID128" s="87"/>
      <c r="IE128" s="87"/>
      <c r="IF128" s="87"/>
      <c r="IG128" s="87"/>
      <c r="IH128" s="87"/>
      <c r="II128" s="87"/>
      <c r="IJ128" s="87"/>
      <c r="IK128" s="87"/>
      <c r="IL128" s="87"/>
      <c r="IM128" s="87"/>
      <c r="IN128" s="87"/>
      <c r="IO128" s="87"/>
      <c r="IP128" s="87"/>
      <c r="IQ128" s="87"/>
    </row>
    <row r="129" spans="1:251" s="84" customFormat="1" ht="12.75" hidden="1">
      <c r="A129" s="79"/>
      <c r="B129" s="79"/>
      <c r="C129" s="80"/>
      <c r="D129" s="89"/>
      <c r="E129" s="90"/>
      <c r="F129" s="275"/>
      <c r="G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/>
      <c r="HN129" s="87"/>
      <c r="HO129" s="87"/>
      <c r="HP129" s="87"/>
      <c r="HQ129" s="87"/>
      <c r="HR129" s="87"/>
      <c r="HS129" s="87"/>
      <c r="HT129" s="87"/>
      <c r="HU129" s="87"/>
      <c r="HV129" s="87"/>
      <c r="HW129" s="87"/>
      <c r="HX129" s="87"/>
      <c r="HY129" s="87"/>
      <c r="HZ129" s="87"/>
      <c r="IA129" s="87"/>
      <c r="IB129" s="87"/>
      <c r="IC129" s="87"/>
      <c r="ID129" s="87"/>
      <c r="IE129" s="87"/>
      <c r="IF129" s="87"/>
      <c r="IG129" s="87"/>
      <c r="IH129" s="87"/>
      <c r="II129" s="87"/>
      <c r="IJ129" s="87"/>
      <c r="IK129" s="87"/>
      <c r="IL129" s="87"/>
      <c r="IM129" s="87"/>
      <c r="IN129" s="87"/>
      <c r="IO129" s="87"/>
      <c r="IP129" s="87"/>
      <c r="IQ129" s="87"/>
    </row>
    <row r="130" spans="1:251" s="84" customFormat="1" ht="31.5" customHeight="1">
      <c r="A130" s="79"/>
      <c r="B130" s="79"/>
      <c r="C130" s="80"/>
      <c r="D130" s="89" t="s">
        <v>23</v>
      </c>
      <c r="E130" s="90" t="s">
        <v>460</v>
      </c>
      <c r="F130" s="277">
        <v>2500</v>
      </c>
      <c r="G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  <c r="IL130" s="87"/>
      <c r="IM130" s="87"/>
      <c r="IN130" s="87"/>
      <c r="IO130" s="87"/>
      <c r="IP130" s="87"/>
      <c r="IQ130" s="87"/>
    </row>
    <row r="131" spans="1:251" s="84" customFormat="1" ht="18.75" customHeight="1">
      <c r="A131" s="79"/>
      <c r="B131" s="79"/>
      <c r="C131" s="80"/>
      <c r="D131" s="85" t="s">
        <v>28</v>
      </c>
      <c r="E131" s="86" t="s">
        <v>462</v>
      </c>
      <c r="F131" s="277">
        <v>3000</v>
      </c>
      <c r="G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7"/>
      <c r="HY131" s="87"/>
      <c r="HZ131" s="87"/>
      <c r="IA131" s="87"/>
      <c r="IB131" s="87"/>
      <c r="IC131" s="87"/>
      <c r="ID131" s="87"/>
      <c r="IE131" s="87"/>
      <c r="IF131" s="87"/>
      <c r="IG131" s="87"/>
      <c r="IH131" s="87"/>
      <c r="II131" s="87"/>
      <c r="IJ131" s="87"/>
      <c r="IK131" s="87"/>
      <c r="IL131" s="87"/>
      <c r="IM131" s="87"/>
      <c r="IN131" s="87"/>
      <c r="IO131" s="87"/>
      <c r="IP131" s="87"/>
      <c r="IQ131" s="87"/>
    </row>
    <row r="132" spans="1:251" s="84" customFormat="1" ht="16.5" customHeight="1">
      <c r="A132" s="79"/>
      <c r="B132" s="79"/>
      <c r="C132" s="80"/>
      <c r="D132" s="89" t="s">
        <v>114</v>
      </c>
      <c r="E132" s="90" t="s">
        <v>219</v>
      </c>
      <c r="F132" s="276">
        <v>11467.56</v>
      </c>
      <c r="G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  <c r="GR132" s="87"/>
      <c r="GS132" s="87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  <c r="HL132" s="87"/>
      <c r="HM132" s="87"/>
      <c r="HN132" s="87"/>
      <c r="HO132" s="87"/>
      <c r="HP132" s="87"/>
      <c r="HQ132" s="87"/>
      <c r="HR132" s="87"/>
      <c r="HS132" s="87"/>
      <c r="HT132" s="87"/>
      <c r="HU132" s="87"/>
      <c r="HV132" s="87"/>
      <c r="HW132" s="87"/>
      <c r="HX132" s="87"/>
      <c r="HY132" s="87"/>
      <c r="HZ132" s="87"/>
      <c r="IA132" s="87"/>
      <c r="IB132" s="87"/>
      <c r="IC132" s="87"/>
      <c r="ID132" s="87"/>
      <c r="IE132" s="87"/>
      <c r="IF132" s="87"/>
      <c r="IG132" s="87"/>
      <c r="IH132" s="87"/>
      <c r="II132" s="87"/>
      <c r="IJ132" s="87"/>
      <c r="IK132" s="87"/>
      <c r="IL132" s="87"/>
      <c r="IM132" s="87"/>
      <c r="IN132" s="87"/>
      <c r="IO132" s="87"/>
      <c r="IP132" s="87"/>
      <c r="IQ132" s="87"/>
    </row>
    <row r="133" spans="1:251" s="84" customFormat="1" ht="12.75">
      <c r="A133" s="79"/>
      <c r="B133" s="79"/>
      <c r="C133" s="80"/>
      <c r="D133" s="85" t="s">
        <v>115</v>
      </c>
      <c r="E133" s="86" t="s">
        <v>309</v>
      </c>
      <c r="F133" s="277">
        <v>1800</v>
      </c>
      <c r="G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/>
      <c r="HN133" s="87"/>
      <c r="HO133" s="87"/>
      <c r="HP133" s="87"/>
      <c r="HQ133" s="87"/>
      <c r="HR133" s="87"/>
      <c r="HS133" s="87"/>
      <c r="HT133" s="87"/>
      <c r="HU133" s="87"/>
      <c r="HV133" s="87"/>
      <c r="HW133" s="87"/>
      <c r="HX133" s="87"/>
      <c r="HY133" s="87"/>
      <c r="HZ133" s="87"/>
      <c r="IA133" s="87"/>
      <c r="IB133" s="87"/>
      <c r="IC133" s="87"/>
      <c r="ID133" s="87"/>
      <c r="IE133" s="87"/>
      <c r="IF133" s="87"/>
      <c r="IG133" s="87"/>
      <c r="IH133" s="87"/>
      <c r="II133" s="87"/>
      <c r="IJ133" s="87"/>
      <c r="IK133" s="87"/>
      <c r="IL133" s="87"/>
      <c r="IM133" s="87"/>
      <c r="IN133" s="87"/>
      <c r="IO133" s="87"/>
      <c r="IP133" s="87"/>
      <c r="IQ133" s="87"/>
    </row>
    <row r="134" spans="1:251" s="84" customFormat="1" ht="12.75">
      <c r="A134" s="79"/>
      <c r="B134" s="79"/>
      <c r="C134" s="80"/>
      <c r="D134" s="85" t="s">
        <v>34</v>
      </c>
      <c r="E134" s="86" t="s">
        <v>204</v>
      </c>
      <c r="F134" s="277">
        <v>4950.83</v>
      </c>
      <c r="G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  <c r="GB134" s="87"/>
      <c r="GC134" s="87"/>
      <c r="GD134" s="87"/>
      <c r="GE134" s="87"/>
      <c r="GF134" s="87"/>
      <c r="GG134" s="87"/>
      <c r="GH134" s="87"/>
      <c r="GI134" s="87"/>
      <c r="GJ134" s="87"/>
      <c r="GK134" s="87"/>
      <c r="GL134" s="87"/>
      <c r="GM134" s="87"/>
      <c r="GN134" s="87"/>
      <c r="GO134" s="87"/>
      <c r="GP134" s="87"/>
      <c r="GQ134" s="87"/>
      <c r="GR134" s="87"/>
      <c r="GS134" s="87"/>
      <c r="GT134" s="87"/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  <c r="HL134" s="87"/>
      <c r="HM134" s="87"/>
      <c r="HN134" s="87"/>
      <c r="HO134" s="87"/>
      <c r="HP134" s="87"/>
      <c r="HQ134" s="87"/>
      <c r="HR134" s="87"/>
      <c r="HS134" s="87"/>
      <c r="HT134" s="87"/>
      <c r="HU134" s="87"/>
      <c r="HV134" s="87"/>
      <c r="HW134" s="87"/>
      <c r="HX134" s="87"/>
      <c r="HY134" s="87"/>
      <c r="HZ134" s="87"/>
      <c r="IA134" s="87"/>
      <c r="IB134" s="87"/>
      <c r="IC134" s="87"/>
      <c r="ID134" s="87"/>
      <c r="IE134" s="87"/>
      <c r="IF134" s="87"/>
      <c r="IG134" s="87"/>
      <c r="IH134" s="87"/>
      <c r="II134" s="87"/>
      <c r="IJ134" s="87"/>
      <c r="IK134" s="87"/>
      <c r="IL134" s="87"/>
      <c r="IM134" s="87"/>
      <c r="IN134" s="87"/>
      <c r="IO134" s="87"/>
      <c r="IP134" s="87"/>
      <c r="IQ134" s="87"/>
    </row>
    <row r="135" spans="1:251" s="84" customFormat="1" ht="22.5">
      <c r="A135" s="79"/>
      <c r="B135" s="79"/>
      <c r="C135" s="80"/>
      <c r="D135" s="85" t="s">
        <v>38</v>
      </c>
      <c r="E135" s="86" t="s">
        <v>466</v>
      </c>
      <c r="F135" s="276">
        <v>9300</v>
      </c>
      <c r="G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/>
      <c r="HN135" s="87"/>
      <c r="HO135" s="87"/>
      <c r="HP135" s="87"/>
      <c r="HQ135" s="87"/>
      <c r="HR135" s="87"/>
      <c r="HS135" s="87"/>
      <c r="HT135" s="87"/>
      <c r="HU135" s="87"/>
      <c r="HV135" s="87"/>
      <c r="HW135" s="87"/>
      <c r="HX135" s="87"/>
      <c r="HY135" s="87"/>
      <c r="HZ135" s="87"/>
      <c r="IA135" s="87"/>
      <c r="IB135" s="87"/>
      <c r="IC135" s="87"/>
      <c r="ID135" s="87"/>
      <c r="IE135" s="87"/>
      <c r="IF135" s="87"/>
      <c r="IG135" s="87"/>
      <c r="IH135" s="87"/>
      <c r="II135" s="87"/>
      <c r="IJ135" s="87"/>
      <c r="IK135" s="87"/>
      <c r="IL135" s="87"/>
      <c r="IM135" s="87"/>
      <c r="IN135" s="87"/>
      <c r="IO135" s="87"/>
      <c r="IP135" s="87"/>
      <c r="IQ135" s="87"/>
    </row>
    <row r="136" spans="1:251" s="84" customFormat="1" ht="27" customHeight="1">
      <c r="A136" s="79"/>
      <c r="B136" s="79"/>
      <c r="C136" s="80"/>
      <c r="D136" s="85" t="s">
        <v>40</v>
      </c>
      <c r="E136" s="86" t="s">
        <v>477</v>
      </c>
      <c r="F136" s="276">
        <v>3000</v>
      </c>
      <c r="G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/>
      <c r="HN136" s="87"/>
      <c r="HO136" s="87"/>
      <c r="HP136" s="87"/>
      <c r="HQ136" s="87"/>
      <c r="HR136" s="87"/>
      <c r="HS136" s="87"/>
      <c r="HT136" s="87"/>
      <c r="HU136" s="87"/>
      <c r="HV136" s="87"/>
      <c r="HW136" s="87"/>
      <c r="HX136" s="87"/>
      <c r="HY136" s="87"/>
      <c r="HZ136" s="87"/>
      <c r="IA136" s="87"/>
      <c r="IB136" s="87"/>
      <c r="IC136" s="87"/>
      <c r="ID136" s="87"/>
      <c r="IE136" s="87"/>
      <c r="IF136" s="87"/>
      <c r="IG136" s="87"/>
      <c r="IH136" s="87"/>
      <c r="II136" s="87"/>
      <c r="IJ136" s="87"/>
      <c r="IK136" s="87"/>
      <c r="IL136" s="87"/>
      <c r="IM136" s="87"/>
      <c r="IN136" s="87"/>
      <c r="IO136" s="87"/>
      <c r="IP136" s="87"/>
      <c r="IQ136" s="87"/>
    </row>
    <row r="137" spans="1:251" s="84" customFormat="1" ht="12.75">
      <c r="A137" s="79"/>
      <c r="B137" s="79"/>
      <c r="C137" s="80"/>
      <c r="D137" s="85" t="s">
        <v>52</v>
      </c>
      <c r="E137" s="86" t="s">
        <v>470</v>
      </c>
      <c r="F137" s="276">
        <v>1568</v>
      </c>
      <c r="G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  <c r="GR137" s="87"/>
      <c r="GS137" s="87"/>
      <c r="GT137" s="87"/>
      <c r="GU137" s="87"/>
      <c r="GV137" s="87"/>
      <c r="GW137" s="87"/>
      <c r="GX137" s="87"/>
      <c r="GY137" s="87"/>
      <c r="GZ137" s="87"/>
      <c r="HA137" s="87"/>
      <c r="HB137" s="87"/>
      <c r="HC137" s="87"/>
      <c r="HD137" s="87"/>
      <c r="HE137" s="87"/>
      <c r="HF137" s="87"/>
      <c r="HG137" s="87"/>
      <c r="HH137" s="87"/>
      <c r="HI137" s="87"/>
      <c r="HJ137" s="87"/>
      <c r="HK137" s="87"/>
      <c r="HL137" s="87"/>
      <c r="HM137" s="87"/>
      <c r="HN137" s="87"/>
      <c r="HO137" s="87"/>
      <c r="HP137" s="87"/>
      <c r="HQ137" s="87"/>
      <c r="HR137" s="87"/>
      <c r="HS137" s="87"/>
      <c r="HT137" s="87"/>
      <c r="HU137" s="87"/>
      <c r="HV137" s="87"/>
      <c r="HW137" s="87"/>
      <c r="HX137" s="87"/>
      <c r="HY137" s="87"/>
      <c r="HZ137" s="87"/>
      <c r="IA137" s="87"/>
      <c r="IB137" s="87"/>
      <c r="IC137" s="87"/>
      <c r="ID137" s="87"/>
      <c r="IE137" s="87"/>
      <c r="IF137" s="87"/>
      <c r="IG137" s="87"/>
      <c r="IH137" s="87"/>
      <c r="II137" s="87"/>
      <c r="IJ137" s="87"/>
      <c r="IK137" s="87"/>
      <c r="IL137" s="87"/>
      <c r="IM137" s="87"/>
      <c r="IN137" s="87"/>
      <c r="IO137" s="87"/>
      <c r="IP137" s="87"/>
      <c r="IQ137" s="87"/>
    </row>
    <row r="138" spans="1:251" s="84" customFormat="1" ht="45">
      <c r="A138" s="79"/>
      <c r="B138" s="79"/>
      <c r="C138" s="80"/>
      <c r="D138" s="85" t="s">
        <v>55</v>
      </c>
      <c r="E138" s="264" t="s">
        <v>426</v>
      </c>
      <c r="F138" s="276">
        <f>3500+3190.56+3000</f>
        <v>9690.56</v>
      </c>
      <c r="G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/>
      <c r="HT138" s="87"/>
      <c r="HU138" s="87"/>
      <c r="HV138" s="87"/>
      <c r="HW138" s="87"/>
      <c r="HX138" s="87"/>
      <c r="HY138" s="87"/>
      <c r="HZ138" s="87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7"/>
      <c r="IM138" s="87"/>
      <c r="IN138" s="87"/>
      <c r="IO138" s="87"/>
      <c r="IP138" s="87"/>
      <c r="IQ138" s="87"/>
    </row>
    <row r="139" spans="1:251" s="84" customFormat="1" ht="12.75">
      <c r="A139" s="79"/>
      <c r="B139" s="79"/>
      <c r="C139" s="80"/>
      <c r="D139" s="85" t="s">
        <v>58</v>
      </c>
      <c r="E139" s="86" t="s">
        <v>221</v>
      </c>
      <c r="F139" s="276">
        <v>5000</v>
      </c>
      <c r="G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  <c r="GB139" s="87"/>
      <c r="GC139" s="87"/>
      <c r="GD139" s="87"/>
      <c r="GE139" s="87"/>
      <c r="GF139" s="87"/>
      <c r="GG139" s="87"/>
      <c r="GH139" s="87"/>
      <c r="GI139" s="87"/>
      <c r="GJ139" s="87"/>
      <c r="GK139" s="87"/>
      <c r="GL139" s="87"/>
      <c r="GM139" s="87"/>
      <c r="GN139" s="87"/>
      <c r="GO139" s="87"/>
      <c r="GP139" s="87"/>
      <c r="GQ139" s="87"/>
      <c r="GR139" s="87"/>
      <c r="GS139" s="87"/>
      <c r="GT139" s="87"/>
      <c r="GU139" s="87"/>
      <c r="GV139" s="87"/>
      <c r="GW139" s="87"/>
      <c r="GX139" s="87"/>
      <c r="GY139" s="87"/>
      <c r="GZ139" s="87"/>
      <c r="HA139" s="87"/>
      <c r="HB139" s="87"/>
      <c r="HC139" s="87"/>
      <c r="HD139" s="87"/>
      <c r="HE139" s="87"/>
      <c r="HF139" s="87"/>
      <c r="HG139" s="87"/>
      <c r="HH139" s="87"/>
      <c r="HI139" s="87"/>
      <c r="HJ139" s="87"/>
      <c r="HK139" s="87"/>
      <c r="HL139" s="87"/>
      <c r="HM139" s="87"/>
      <c r="HN139" s="87"/>
      <c r="HO139" s="87"/>
      <c r="HP139" s="87"/>
      <c r="HQ139" s="87"/>
      <c r="HR139" s="87"/>
      <c r="HS139" s="87"/>
      <c r="HT139" s="87"/>
      <c r="HU139" s="87"/>
      <c r="HV139" s="87"/>
      <c r="HW139" s="87"/>
      <c r="HX139" s="87"/>
      <c r="HY139" s="87"/>
      <c r="HZ139" s="87"/>
      <c r="IA139" s="87"/>
      <c r="IB139" s="87"/>
      <c r="IC139" s="87"/>
      <c r="ID139" s="87"/>
      <c r="IE139" s="87"/>
      <c r="IF139" s="87"/>
      <c r="IG139" s="87"/>
      <c r="IH139" s="87"/>
      <c r="II139" s="87"/>
      <c r="IJ139" s="87"/>
      <c r="IK139" s="87"/>
      <c r="IL139" s="87"/>
      <c r="IM139" s="87"/>
      <c r="IN139" s="87"/>
      <c r="IO139" s="87"/>
      <c r="IP139" s="87"/>
      <c r="IQ139" s="87"/>
    </row>
    <row r="140" spans="1:251" s="84" customFormat="1" ht="16.5" customHeight="1">
      <c r="A140" s="79"/>
      <c r="B140" s="79"/>
      <c r="C140" s="99" t="s">
        <v>152</v>
      </c>
      <c r="D140" s="99"/>
      <c r="E140" s="100" t="s">
        <v>153</v>
      </c>
      <c r="F140" s="292">
        <f>SUM(F141:F142)</f>
        <v>1000</v>
      </c>
      <c r="G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7"/>
      <c r="HT140" s="87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</row>
    <row r="141" spans="1:251" s="84" customFormat="1" ht="16.5" customHeight="1">
      <c r="A141" s="79"/>
      <c r="B141" s="79"/>
      <c r="C141" s="360"/>
      <c r="D141" s="89" t="s">
        <v>23</v>
      </c>
      <c r="E141" s="90" t="s">
        <v>168</v>
      </c>
      <c r="F141" s="277">
        <v>1000</v>
      </c>
      <c r="G141" s="19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7"/>
      <c r="HT141" s="87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</row>
    <row r="142" spans="1:251" s="84" customFormat="1" ht="16.5" customHeight="1" hidden="1">
      <c r="A142" s="79"/>
      <c r="B142" s="79"/>
      <c r="C142" s="361"/>
      <c r="D142" s="89" t="s">
        <v>114</v>
      </c>
      <c r="E142" s="90" t="s">
        <v>202</v>
      </c>
      <c r="F142" s="275"/>
      <c r="G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</row>
    <row r="143" spans="1:251" s="84" customFormat="1" ht="16.5" customHeight="1">
      <c r="A143" s="79"/>
      <c r="B143" s="79"/>
      <c r="C143" s="99" t="s">
        <v>133</v>
      </c>
      <c r="D143" s="99"/>
      <c r="E143" s="100" t="s">
        <v>134</v>
      </c>
      <c r="F143" s="274">
        <f>SUM(F144:F154)</f>
        <v>21356.1</v>
      </c>
      <c r="G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7"/>
      <c r="HT143" s="87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  <c r="IL143" s="87"/>
      <c r="IM143" s="87"/>
      <c r="IN143" s="87"/>
      <c r="IO143" s="87"/>
      <c r="IP143" s="87"/>
      <c r="IQ143" s="87"/>
    </row>
    <row r="144" spans="1:251" s="84" customFormat="1" ht="12.75" hidden="1">
      <c r="A144" s="79"/>
      <c r="B144" s="79"/>
      <c r="C144" s="80"/>
      <c r="D144" s="89" t="s">
        <v>112</v>
      </c>
      <c r="E144" s="90" t="s">
        <v>257</v>
      </c>
      <c r="F144" s="275">
        <v>0</v>
      </c>
      <c r="G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7"/>
      <c r="HT144" s="87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</row>
    <row r="145" spans="1:251" s="84" customFormat="1" ht="12.75" hidden="1">
      <c r="A145" s="79"/>
      <c r="B145" s="79"/>
      <c r="C145" s="80"/>
      <c r="D145" s="89" t="s">
        <v>113</v>
      </c>
      <c r="E145" s="90" t="s">
        <v>258</v>
      </c>
      <c r="F145" s="275">
        <v>0</v>
      </c>
      <c r="G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7"/>
      <c r="HT145" s="87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  <c r="IL145" s="87"/>
      <c r="IM145" s="87"/>
      <c r="IN145" s="87"/>
      <c r="IO145" s="87"/>
      <c r="IP145" s="87"/>
      <c r="IQ145" s="87"/>
    </row>
    <row r="146" spans="1:251" s="84" customFormat="1" ht="56.25">
      <c r="A146" s="79"/>
      <c r="B146" s="79"/>
      <c r="C146" s="80"/>
      <c r="D146" s="89" t="s">
        <v>14</v>
      </c>
      <c r="E146" s="90" t="s">
        <v>452</v>
      </c>
      <c r="F146" s="277">
        <v>8309.18</v>
      </c>
      <c r="G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  <c r="GR146" s="87"/>
      <c r="GS146" s="87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  <c r="HL146" s="87"/>
      <c r="HM146" s="87"/>
      <c r="HN146" s="87"/>
      <c r="HO146" s="87"/>
      <c r="HP146" s="87"/>
      <c r="HQ146" s="87"/>
      <c r="HR146" s="87"/>
      <c r="HS146" s="87"/>
      <c r="HT146" s="87"/>
      <c r="HU146" s="87"/>
      <c r="HV146" s="87"/>
      <c r="HW146" s="87"/>
      <c r="HX146" s="87"/>
      <c r="HY146" s="87"/>
      <c r="HZ146" s="87"/>
      <c r="IA146" s="87"/>
      <c r="IB146" s="87"/>
      <c r="IC146" s="87"/>
      <c r="ID146" s="87"/>
      <c r="IE146" s="87"/>
      <c r="IF146" s="87"/>
      <c r="IG146" s="87"/>
      <c r="IH146" s="87"/>
      <c r="II146" s="87"/>
      <c r="IJ146" s="87"/>
      <c r="IK146" s="87"/>
      <c r="IL146" s="87"/>
      <c r="IM146" s="87"/>
      <c r="IN146" s="87"/>
      <c r="IO146" s="87"/>
      <c r="IP146" s="87"/>
      <c r="IQ146" s="87"/>
    </row>
    <row r="147" spans="1:251" s="84" customFormat="1" ht="22.5">
      <c r="A147" s="79"/>
      <c r="B147" s="79"/>
      <c r="C147" s="80"/>
      <c r="D147" s="89" t="s">
        <v>20</v>
      </c>
      <c r="E147" s="90" t="s">
        <v>457</v>
      </c>
      <c r="F147" s="277">
        <v>600</v>
      </c>
      <c r="G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7"/>
      <c r="HT147" s="87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</row>
    <row r="148" spans="1:251" s="84" customFormat="1" ht="12.75">
      <c r="A148" s="79"/>
      <c r="B148" s="79"/>
      <c r="C148" s="80"/>
      <c r="D148" s="85" t="s">
        <v>23</v>
      </c>
      <c r="E148" s="90" t="s">
        <v>241</v>
      </c>
      <c r="F148" s="275"/>
      <c r="G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7"/>
      <c r="HT148" s="87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  <c r="IL148" s="87"/>
      <c r="IM148" s="87"/>
      <c r="IN148" s="87"/>
      <c r="IO148" s="87"/>
      <c r="IP148" s="87"/>
      <c r="IQ148" s="87"/>
    </row>
    <row r="149" spans="1:251" s="84" customFormat="1" ht="12.75">
      <c r="A149" s="79"/>
      <c r="B149" s="79"/>
      <c r="C149" s="80"/>
      <c r="D149" s="85" t="s">
        <v>115</v>
      </c>
      <c r="E149" s="90" t="s">
        <v>464</v>
      </c>
      <c r="F149" s="277">
        <v>8000</v>
      </c>
      <c r="G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87"/>
      <c r="HS149" s="87"/>
      <c r="HT149" s="87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/>
      <c r="II149" s="87"/>
      <c r="IJ149" s="87"/>
      <c r="IK149" s="87"/>
      <c r="IL149" s="87"/>
      <c r="IM149" s="87"/>
      <c r="IN149" s="87"/>
      <c r="IO149" s="87"/>
      <c r="IP149" s="87"/>
      <c r="IQ149" s="87"/>
    </row>
    <row r="150" spans="1:251" s="84" customFormat="1" ht="16.5" customHeight="1">
      <c r="A150" s="79"/>
      <c r="B150" s="79"/>
      <c r="C150" s="80"/>
      <c r="D150" s="85" t="s">
        <v>34</v>
      </c>
      <c r="E150" s="86" t="s">
        <v>205</v>
      </c>
      <c r="F150" s="277">
        <v>388.8</v>
      </c>
      <c r="G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7"/>
      <c r="HT150" s="87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  <c r="IL150" s="87"/>
      <c r="IM150" s="87"/>
      <c r="IN150" s="87"/>
      <c r="IO150" s="87"/>
      <c r="IP150" s="87"/>
      <c r="IQ150" s="87"/>
    </row>
    <row r="151" spans="1:251" s="84" customFormat="1" ht="16.5" customHeight="1">
      <c r="A151" s="79"/>
      <c r="B151" s="79"/>
      <c r="C151" s="80"/>
      <c r="D151" s="85" t="s">
        <v>38</v>
      </c>
      <c r="E151" s="86" t="s">
        <v>438</v>
      </c>
      <c r="F151" s="276">
        <v>1418.12</v>
      </c>
      <c r="G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7"/>
      <c r="HT151" s="87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  <c r="IL151" s="87"/>
      <c r="IM151" s="87"/>
      <c r="IN151" s="87"/>
      <c r="IO151" s="87"/>
      <c r="IP151" s="87"/>
      <c r="IQ151" s="87"/>
    </row>
    <row r="152" spans="1:251" s="84" customFormat="1" ht="16.5" customHeight="1">
      <c r="A152" s="79"/>
      <c r="B152" s="79"/>
      <c r="C152" s="80"/>
      <c r="D152" s="85" t="s">
        <v>49</v>
      </c>
      <c r="E152" s="86" t="s">
        <v>242</v>
      </c>
      <c r="F152" s="275"/>
      <c r="G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7"/>
      <c r="HT152" s="87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</row>
    <row r="153" spans="1:251" s="84" customFormat="1" ht="22.5" customHeight="1">
      <c r="A153" s="79"/>
      <c r="B153" s="79"/>
      <c r="C153" s="80"/>
      <c r="D153" s="85" t="s">
        <v>55</v>
      </c>
      <c r="E153" s="86" t="s">
        <v>427</v>
      </c>
      <c r="F153" s="276">
        <f>400+2000</f>
        <v>2400</v>
      </c>
      <c r="G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</row>
    <row r="154" spans="1:251" s="84" customFormat="1" ht="16.5" customHeight="1">
      <c r="A154" s="79"/>
      <c r="B154" s="79"/>
      <c r="C154" s="80"/>
      <c r="D154" s="85" t="s">
        <v>58</v>
      </c>
      <c r="E154" s="86" t="s">
        <v>468</v>
      </c>
      <c r="F154" s="276">
        <v>240</v>
      </c>
      <c r="G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7"/>
      <c r="HT154" s="87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  <c r="IL154" s="87"/>
      <c r="IM154" s="87"/>
      <c r="IN154" s="87"/>
      <c r="IO154" s="87"/>
      <c r="IP154" s="87"/>
      <c r="IQ154" s="87"/>
    </row>
    <row r="155" spans="1:251" s="84" customFormat="1" ht="16.5" customHeight="1">
      <c r="A155" s="79"/>
      <c r="B155" s="79"/>
      <c r="C155" s="99" t="s">
        <v>206</v>
      </c>
      <c r="D155" s="99"/>
      <c r="E155" s="100" t="s">
        <v>154</v>
      </c>
      <c r="F155" s="292">
        <f>F156</f>
        <v>1180.8</v>
      </c>
      <c r="G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7"/>
      <c r="HT155" s="87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  <c r="IL155" s="87"/>
      <c r="IM155" s="87"/>
      <c r="IN155" s="87"/>
      <c r="IO155" s="87"/>
      <c r="IP155" s="87"/>
      <c r="IQ155" s="87"/>
    </row>
    <row r="156" spans="1:251" s="84" customFormat="1" ht="16.5" customHeight="1">
      <c r="A156" s="79"/>
      <c r="B156" s="79"/>
      <c r="C156" s="85"/>
      <c r="D156" s="85" t="s">
        <v>34</v>
      </c>
      <c r="E156" s="86" t="s">
        <v>312</v>
      </c>
      <c r="F156" s="277">
        <v>1180.8</v>
      </c>
      <c r="G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7"/>
      <c r="HT156" s="87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  <c r="IL156" s="87"/>
      <c r="IM156" s="87"/>
      <c r="IN156" s="87"/>
      <c r="IO156" s="87"/>
      <c r="IP156" s="87"/>
      <c r="IQ156" s="87"/>
    </row>
    <row r="157" spans="1:251" s="84" customFormat="1" ht="16.5" customHeight="1">
      <c r="A157" s="79"/>
      <c r="B157" s="79"/>
      <c r="C157" s="99" t="s">
        <v>225</v>
      </c>
      <c r="D157" s="99"/>
      <c r="E157" s="100" t="s">
        <v>259</v>
      </c>
      <c r="F157" s="292">
        <f>F158</f>
        <v>14247.68</v>
      </c>
      <c r="G157" s="120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7"/>
      <c r="HT157" s="87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  <c r="IL157" s="87"/>
      <c r="IM157" s="87"/>
      <c r="IN157" s="87"/>
      <c r="IO157" s="87"/>
      <c r="IP157" s="87"/>
      <c r="IQ157" s="87"/>
    </row>
    <row r="158" spans="1:251" s="84" customFormat="1" ht="16.5" customHeight="1">
      <c r="A158" s="79"/>
      <c r="B158" s="79"/>
      <c r="C158" s="81"/>
      <c r="D158" s="89" t="s">
        <v>28</v>
      </c>
      <c r="E158" s="90" t="s">
        <v>463</v>
      </c>
      <c r="F158" s="277">
        <v>14247.68</v>
      </c>
      <c r="G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7"/>
      <c r="HT158" s="87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  <c r="IL158" s="87"/>
      <c r="IM158" s="87"/>
      <c r="IN158" s="87"/>
      <c r="IO158" s="87"/>
      <c r="IP158" s="87"/>
      <c r="IQ158" s="87"/>
    </row>
    <row r="159" spans="1:251" s="84" customFormat="1" ht="16.5" customHeight="1">
      <c r="A159" s="78"/>
      <c r="B159" s="105" t="s">
        <v>155</v>
      </c>
      <c r="C159" s="102"/>
      <c r="D159" s="102"/>
      <c r="E159" s="103" t="s">
        <v>156</v>
      </c>
      <c r="F159" s="283">
        <f>F160</f>
        <v>587.49</v>
      </c>
      <c r="G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7"/>
      <c r="HT159" s="87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  <c r="IL159" s="87"/>
      <c r="IM159" s="87"/>
      <c r="IN159" s="87"/>
      <c r="IO159" s="87"/>
      <c r="IP159" s="87"/>
      <c r="IQ159" s="87"/>
    </row>
    <row r="160" spans="1:251" s="84" customFormat="1" ht="16.5" customHeight="1">
      <c r="A160" s="79"/>
      <c r="B160" s="79"/>
      <c r="C160" s="99" t="s">
        <v>131</v>
      </c>
      <c r="D160" s="99"/>
      <c r="E160" s="100" t="s">
        <v>132</v>
      </c>
      <c r="F160" s="292">
        <f>F161</f>
        <v>587.49</v>
      </c>
      <c r="G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7"/>
      <c r="HT160" s="87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</row>
    <row r="161" spans="1:251" s="84" customFormat="1" ht="16.5" customHeight="1">
      <c r="A161" s="79"/>
      <c r="B161" s="79"/>
      <c r="C161" s="104"/>
      <c r="D161" s="85" t="s">
        <v>40</v>
      </c>
      <c r="E161" s="86" t="s">
        <v>157</v>
      </c>
      <c r="F161" s="276">
        <v>587.49</v>
      </c>
      <c r="G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7"/>
      <c r="HT161" s="87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  <c r="IL161" s="87"/>
      <c r="IM161" s="87"/>
      <c r="IN161" s="87"/>
      <c r="IO161" s="87"/>
      <c r="IP161" s="87"/>
      <c r="IQ161" s="87"/>
    </row>
    <row r="162" spans="1:251" s="84" customFormat="1" ht="16.5" customHeight="1">
      <c r="A162" s="78"/>
      <c r="B162" s="105" t="s">
        <v>158</v>
      </c>
      <c r="C162" s="102"/>
      <c r="D162" s="102"/>
      <c r="E162" s="103" t="s">
        <v>136</v>
      </c>
      <c r="F162" s="273">
        <f>F166+F195+F163+F185</f>
        <v>81424.18</v>
      </c>
      <c r="G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7"/>
      <c r="HT162" s="87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  <c r="IL162" s="87"/>
      <c r="IM162" s="87"/>
      <c r="IN162" s="87"/>
      <c r="IO162" s="87"/>
      <c r="IP162" s="87"/>
      <c r="IQ162" s="87"/>
    </row>
    <row r="163" spans="1:251" s="84" customFormat="1" ht="16.5" customHeight="1">
      <c r="A163" s="79"/>
      <c r="B163" s="110"/>
      <c r="C163" s="99" t="s">
        <v>159</v>
      </c>
      <c r="D163" s="99"/>
      <c r="E163" s="100" t="s">
        <v>160</v>
      </c>
      <c r="F163" s="274">
        <f>SUM(F164:F165)</f>
        <v>3000</v>
      </c>
      <c r="G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7"/>
      <c r="HT163" s="87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  <c r="IL163" s="87"/>
      <c r="IM163" s="87"/>
      <c r="IN163" s="87"/>
      <c r="IO163" s="87"/>
      <c r="IP163" s="87"/>
      <c r="IQ163" s="87"/>
    </row>
    <row r="164" spans="1:251" s="84" customFormat="1" ht="28.5" customHeight="1">
      <c r="A164" s="79"/>
      <c r="B164" s="79"/>
      <c r="C164" s="80"/>
      <c r="D164" s="89" t="s">
        <v>14</v>
      </c>
      <c r="E164" s="90" t="s">
        <v>404</v>
      </c>
      <c r="F164" s="277">
        <v>1500</v>
      </c>
      <c r="G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7"/>
      <c r="HT164" s="87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</row>
    <row r="165" spans="1:251" s="84" customFormat="1" ht="21" customHeight="1">
      <c r="A165" s="79"/>
      <c r="B165" s="79"/>
      <c r="C165" s="80"/>
      <c r="D165" s="89" t="s">
        <v>40</v>
      </c>
      <c r="E165" s="90" t="s">
        <v>315</v>
      </c>
      <c r="F165" s="276">
        <v>1500</v>
      </c>
      <c r="G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7"/>
      <c r="HT165" s="87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</row>
    <row r="166" spans="1:251" s="84" customFormat="1" ht="21" customHeight="1">
      <c r="A166" s="79"/>
      <c r="B166" s="79"/>
      <c r="C166" s="99" t="s">
        <v>131</v>
      </c>
      <c r="D166" s="99"/>
      <c r="E166" s="100" t="s">
        <v>132</v>
      </c>
      <c r="F166" s="274">
        <f>SUM(F167:F184)</f>
        <v>36478.69</v>
      </c>
      <c r="G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7"/>
      <c r="HT166" s="87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  <c r="IL166" s="87"/>
      <c r="IM166" s="87"/>
      <c r="IN166" s="87"/>
      <c r="IO166" s="87"/>
      <c r="IP166" s="87"/>
      <c r="IQ166" s="87"/>
    </row>
    <row r="167" spans="1:251" s="84" customFormat="1" ht="22.5" customHeight="1">
      <c r="A167" s="79"/>
      <c r="B167" s="79"/>
      <c r="C167" s="80"/>
      <c r="D167" s="89" t="s">
        <v>112</v>
      </c>
      <c r="E167" s="90" t="s">
        <v>440</v>
      </c>
      <c r="F167" s="277">
        <v>1000</v>
      </c>
      <c r="G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7"/>
      <c r="HT167" s="87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  <c r="IL167" s="87"/>
      <c r="IM167" s="87"/>
      <c r="IN167" s="87"/>
      <c r="IO167" s="87"/>
      <c r="IP167" s="87"/>
      <c r="IQ167" s="87"/>
    </row>
    <row r="168" spans="1:251" s="84" customFormat="1" ht="25.5" customHeight="1">
      <c r="A168" s="79"/>
      <c r="B168" s="79"/>
      <c r="C168" s="80"/>
      <c r="D168" s="85" t="s">
        <v>113</v>
      </c>
      <c r="E168" s="86" t="s">
        <v>446</v>
      </c>
      <c r="F168" s="277">
        <v>500</v>
      </c>
      <c r="G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7"/>
      <c r="HT168" s="87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  <c r="IL168" s="87"/>
      <c r="IM168" s="87"/>
      <c r="IN168" s="87"/>
      <c r="IO168" s="87"/>
      <c r="IP168" s="87"/>
      <c r="IQ168" s="87"/>
    </row>
    <row r="169" spans="1:251" s="84" customFormat="1" ht="16.5" customHeight="1">
      <c r="A169" s="79"/>
      <c r="B169" s="79"/>
      <c r="C169" s="80"/>
      <c r="D169" s="89" t="s">
        <v>11</v>
      </c>
      <c r="E169" s="90" t="s">
        <v>167</v>
      </c>
      <c r="F169" s="277">
        <v>500</v>
      </c>
      <c r="G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7"/>
      <c r="HT169" s="87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</row>
    <row r="170" spans="1:251" s="84" customFormat="1" ht="21" customHeight="1">
      <c r="A170" s="79"/>
      <c r="B170" s="79"/>
      <c r="C170" s="80"/>
      <c r="D170" s="89" t="s">
        <v>14</v>
      </c>
      <c r="E170" s="86" t="s">
        <v>453</v>
      </c>
      <c r="F170" s="277">
        <v>3500</v>
      </c>
      <c r="G170" s="87"/>
      <c r="H170" s="261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7"/>
      <c r="HT170" s="87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</row>
    <row r="171" spans="1:251" s="84" customFormat="1" ht="13.5" customHeight="1">
      <c r="A171" s="79"/>
      <c r="B171" s="79"/>
      <c r="C171" s="80"/>
      <c r="D171" s="89" t="s">
        <v>20</v>
      </c>
      <c r="E171" s="90" t="s">
        <v>458</v>
      </c>
      <c r="F171" s="276">
        <v>3500</v>
      </c>
      <c r="G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7"/>
      <c r="HT171" s="87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</row>
    <row r="172" spans="1:251" s="84" customFormat="1" ht="16.5" customHeight="1">
      <c r="A172" s="79"/>
      <c r="B172" s="79"/>
      <c r="C172" s="80"/>
      <c r="D172" s="89" t="s">
        <v>23</v>
      </c>
      <c r="E172" s="90" t="s">
        <v>161</v>
      </c>
      <c r="F172" s="277">
        <v>944.94</v>
      </c>
      <c r="G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7"/>
      <c r="HT172" s="87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</row>
    <row r="173" spans="1:251" s="84" customFormat="1" ht="16.5" customHeight="1">
      <c r="A173" s="79"/>
      <c r="B173" s="79"/>
      <c r="C173" s="80"/>
      <c r="D173" s="85" t="s">
        <v>28</v>
      </c>
      <c r="E173" s="86" t="s">
        <v>161</v>
      </c>
      <c r="F173" s="277">
        <v>1500</v>
      </c>
      <c r="G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7"/>
      <c r="HT173" s="87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</row>
    <row r="174" spans="1:251" s="84" customFormat="1" ht="30" customHeight="1" hidden="1">
      <c r="A174" s="79"/>
      <c r="B174" s="79"/>
      <c r="C174" s="80"/>
      <c r="D174" s="89" t="s">
        <v>114</v>
      </c>
      <c r="E174" s="90" t="s">
        <v>260</v>
      </c>
      <c r="F174" s="275"/>
      <c r="G174" s="19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7"/>
      <c r="HT174" s="87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  <c r="IL174" s="87"/>
      <c r="IM174" s="87"/>
      <c r="IN174" s="87"/>
      <c r="IO174" s="87"/>
      <c r="IP174" s="87"/>
      <c r="IQ174" s="87"/>
    </row>
    <row r="175" spans="1:251" s="84" customFormat="1" ht="12.75">
      <c r="A175" s="79"/>
      <c r="B175" s="79"/>
      <c r="C175" s="80"/>
      <c r="D175" s="89" t="s">
        <v>115</v>
      </c>
      <c r="E175" s="90" t="s">
        <v>287</v>
      </c>
      <c r="F175" s="276">
        <v>900</v>
      </c>
      <c r="G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7"/>
      <c r="HT175" s="87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  <c r="IL175" s="87"/>
      <c r="IM175" s="87"/>
      <c r="IN175" s="87"/>
      <c r="IO175" s="87"/>
      <c r="IP175" s="87"/>
      <c r="IQ175" s="87"/>
    </row>
    <row r="176" spans="1:251" s="84" customFormat="1" ht="22.5">
      <c r="A176" s="79"/>
      <c r="B176" s="79"/>
      <c r="C176" s="80"/>
      <c r="D176" s="89" t="s">
        <v>34</v>
      </c>
      <c r="E176" s="90" t="s">
        <v>423</v>
      </c>
      <c r="F176" s="277">
        <v>2000</v>
      </c>
      <c r="G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7"/>
      <c r="HT176" s="87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  <c r="IL176" s="87"/>
      <c r="IM176" s="87"/>
      <c r="IN176" s="87"/>
      <c r="IO176" s="87"/>
      <c r="IP176" s="87"/>
      <c r="IQ176" s="87"/>
    </row>
    <row r="177" spans="1:251" s="84" customFormat="1" ht="12.75">
      <c r="A177" s="79"/>
      <c r="B177" s="79"/>
      <c r="C177" s="80"/>
      <c r="D177" s="89" t="s">
        <v>38</v>
      </c>
      <c r="E177" s="90" t="s">
        <v>467</v>
      </c>
      <c r="F177" s="276">
        <v>200</v>
      </c>
      <c r="G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7"/>
      <c r="HT177" s="87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  <c r="IL177" s="87"/>
      <c r="IM177" s="87"/>
      <c r="IN177" s="87"/>
      <c r="IO177" s="87"/>
      <c r="IP177" s="87"/>
      <c r="IQ177" s="87"/>
    </row>
    <row r="178" spans="1:251" s="84" customFormat="1" ht="12.75">
      <c r="A178" s="79"/>
      <c r="B178" s="79"/>
      <c r="C178" s="80"/>
      <c r="D178" s="85" t="s">
        <v>40</v>
      </c>
      <c r="E178" s="86" t="s">
        <v>315</v>
      </c>
      <c r="F178" s="276">
        <v>600</v>
      </c>
      <c r="G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7"/>
      <c r="HT178" s="87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  <c r="IL178" s="87"/>
      <c r="IM178" s="87"/>
      <c r="IN178" s="87"/>
      <c r="IO178" s="87"/>
      <c r="IP178" s="87"/>
      <c r="IQ178" s="87"/>
    </row>
    <row r="179" spans="1:251" s="84" customFormat="1" ht="12.75">
      <c r="A179" s="79"/>
      <c r="B179" s="79"/>
      <c r="C179" s="80"/>
      <c r="D179" s="85" t="s">
        <v>43</v>
      </c>
      <c r="E179" s="86" t="s">
        <v>478</v>
      </c>
      <c r="F179" s="276">
        <v>400</v>
      </c>
      <c r="G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7"/>
      <c r="HT179" s="87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</row>
    <row r="180" spans="1:251" s="84" customFormat="1" ht="19.5" customHeight="1">
      <c r="A180" s="79"/>
      <c r="B180" s="79"/>
      <c r="C180" s="80"/>
      <c r="D180" s="85" t="s">
        <v>49</v>
      </c>
      <c r="E180" s="86" t="s">
        <v>265</v>
      </c>
      <c r="F180" s="276">
        <v>200</v>
      </c>
      <c r="G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7"/>
      <c r="HT180" s="87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  <c r="IL180" s="87"/>
      <c r="IM180" s="87"/>
      <c r="IN180" s="87"/>
      <c r="IO180" s="87"/>
      <c r="IP180" s="87"/>
      <c r="IQ180" s="87"/>
    </row>
    <row r="181" spans="1:251" s="84" customFormat="1" ht="16.5" customHeight="1">
      <c r="A181" s="79"/>
      <c r="B181" s="79"/>
      <c r="C181" s="80"/>
      <c r="D181" s="85" t="s">
        <v>52</v>
      </c>
      <c r="E181" s="86" t="s">
        <v>211</v>
      </c>
      <c r="F181" s="276">
        <v>2000</v>
      </c>
      <c r="G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7"/>
      <c r="HT181" s="87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  <c r="IL181" s="87"/>
      <c r="IM181" s="87"/>
      <c r="IN181" s="87"/>
      <c r="IO181" s="87"/>
      <c r="IP181" s="87"/>
      <c r="IQ181" s="87"/>
    </row>
    <row r="182" spans="1:251" s="84" customFormat="1" ht="22.5" customHeight="1">
      <c r="A182" s="79"/>
      <c r="B182" s="79"/>
      <c r="C182" s="80"/>
      <c r="D182" s="85" t="s">
        <v>55</v>
      </c>
      <c r="E182" s="86" t="s">
        <v>428</v>
      </c>
      <c r="F182" s="276">
        <v>5000</v>
      </c>
      <c r="G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7"/>
      <c r="HT182" s="87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  <c r="IL182" s="87"/>
      <c r="IM182" s="87"/>
      <c r="IN182" s="87"/>
      <c r="IO182" s="87"/>
      <c r="IP182" s="87"/>
      <c r="IQ182" s="87"/>
    </row>
    <row r="183" spans="1:251" s="84" customFormat="1" ht="12.75">
      <c r="A183" s="79"/>
      <c r="B183" s="79"/>
      <c r="C183" s="80"/>
      <c r="D183" s="85" t="s">
        <v>58</v>
      </c>
      <c r="E183" s="86" t="s">
        <v>317</v>
      </c>
      <c r="F183" s="276">
        <v>900.25</v>
      </c>
      <c r="G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7"/>
      <c r="HT183" s="87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</row>
    <row r="184" spans="1:251" s="84" customFormat="1" ht="12.75">
      <c r="A184" s="79"/>
      <c r="B184" s="79"/>
      <c r="C184" s="80"/>
      <c r="D184" s="85" t="s">
        <v>35</v>
      </c>
      <c r="E184" s="86" t="s">
        <v>472</v>
      </c>
      <c r="F184" s="276">
        <v>12833.5</v>
      </c>
      <c r="G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7"/>
      <c r="HT184" s="87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7"/>
      <c r="IN184" s="87"/>
      <c r="IO184" s="87"/>
      <c r="IP184" s="87"/>
      <c r="IQ184" s="87"/>
    </row>
    <row r="185" spans="1:251" s="84" customFormat="1" ht="21" customHeight="1">
      <c r="A185" s="79"/>
      <c r="B185" s="79"/>
      <c r="C185" s="99" t="s">
        <v>434</v>
      </c>
      <c r="D185" s="99"/>
      <c r="E185" s="100" t="s">
        <v>435</v>
      </c>
      <c r="F185" s="274">
        <f>F186+F187+F188+F189+F190+F191+F192+F193+F194</f>
        <v>16787.489999999998</v>
      </c>
      <c r="G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7"/>
      <c r="HT185" s="87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  <c r="IL185" s="87"/>
      <c r="IM185" s="87"/>
      <c r="IN185" s="87"/>
      <c r="IO185" s="87"/>
      <c r="IP185" s="87"/>
      <c r="IQ185" s="87"/>
    </row>
    <row r="186" spans="1:251" s="84" customFormat="1" ht="19.5" customHeight="1">
      <c r="A186" s="79"/>
      <c r="B186" s="79"/>
      <c r="C186" s="80"/>
      <c r="D186" s="89" t="s">
        <v>11</v>
      </c>
      <c r="E186" s="90" t="s">
        <v>161</v>
      </c>
      <c r="F186" s="277">
        <v>2700</v>
      </c>
      <c r="G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/>
      <c r="HN186" s="87"/>
      <c r="HO186" s="87"/>
      <c r="HP186" s="87"/>
      <c r="HQ186" s="87"/>
      <c r="HR186" s="87"/>
      <c r="HS186" s="87"/>
      <c r="HT186" s="87"/>
      <c r="HU186" s="87"/>
      <c r="HV186" s="87"/>
      <c r="HW186" s="87"/>
      <c r="HX186" s="87"/>
      <c r="HY186" s="87"/>
      <c r="HZ186" s="87"/>
      <c r="IA186" s="87"/>
      <c r="IB186" s="87"/>
      <c r="IC186" s="87"/>
      <c r="ID186" s="87"/>
      <c r="IE186" s="87"/>
      <c r="IF186" s="87"/>
      <c r="IG186" s="87"/>
      <c r="IH186" s="87"/>
      <c r="II186" s="87"/>
      <c r="IJ186" s="87"/>
      <c r="IK186" s="87"/>
      <c r="IL186" s="87"/>
      <c r="IM186" s="87"/>
      <c r="IN186" s="87"/>
      <c r="IO186" s="87"/>
      <c r="IP186" s="87"/>
      <c r="IQ186" s="87"/>
    </row>
    <row r="187" spans="1:251" s="84" customFormat="1" ht="16.5" customHeight="1">
      <c r="A187" s="79"/>
      <c r="B187" s="79"/>
      <c r="C187" s="80"/>
      <c r="D187" s="85" t="s">
        <v>49</v>
      </c>
      <c r="E187" s="86" t="s">
        <v>265</v>
      </c>
      <c r="F187" s="276">
        <v>800</v>
      </c>
      <c r="G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/>
      <c r="HN187" s="87"/>
      <c r="HO187" s="87"/>
      <c r="HP187" s="87"/>
      <c r="HQ187" s="87"/>
      <c r="HR187" s="87"/>
      <c r="HS187" s="87"/>
      <c r="HT187" s="87"/>
      <c r="HU187" s="87"/>
      <c r="HV187" s="87"/>
      <c r="HW187" s="87"/>
      <c r="HX187" s="87"/>
      <c r="HY187" s="87"/>
      <c r="HZ187" s="87"/>
      <c r="IA187" s="87"/>
      <c r="IB187" s="87"/>
      <c r="IC187" s="87"/>
      <c r="ID187" s="87"/>
      <c r="IE187" s="87"/>
      <c r="IF187" s="87"/>
      <c r="IG187" s="87"/>
      <c r="IH187" s="87"/>
      <c r="II187" s="87"/>
      <c r="IJ187" s="87"/>
      <c r="IK187" s="87"/>
      <c r="IL187" s="87"/>
      <c r="IM187" s="87"/>
      <c r="IN187" s="87"/>
      <c r="IO187" s="87"/>
      <c r="IP187" s="87"/>
      <c r="IQ187" s="87"/>
    </row>
    <row r="188" spans="1:251" s="84" customFormat="1" ht="16.5" customHeight="1">
      <c r="A188" s="79"/>
      <c r="B188" s="79"/>
      <c r="C188" s="80"/>
      <c r="D188" s="89" t="s">
        <v>23</v>
      </c>
      <c r="E188" s="90" t="s">
        <v>167</v>
      </c>
      <c r="F188" s="277">
        <v>1500</v>
      </c>
      <c r="G188" s="262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  <c r="GR188" s="87"/>
      <c r="GS188" s="87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  <c r="HL188" s="87"/>
      <c r="HM188" s="87"/>
      <c r="HN188" s="87"/>
      <c r="HO188" s="87"/>
      <c r="HP188" s="87"/>
      <c r="HQ188" s="87"/>
      <c r="HR188" s="87"/>
      <c r="HS188" s="87"/>
      <c r="HT188" s="87"/>
      <c r="HU188" s="87"/>
      <c r="HV188" s="87"/>
      <c r="HW188" s="87"/>
      <c r="HX188" s="87"/>
      <c r="HY188" s="87"/>
      <c r="HZ188" s="87"/>
      <c r="IA188" s="87"/>
      <c r="IB188" s="87"/>
      <c r="IC188" s="87"/>
      <c r="ID188" s="87"/>
      <c r="IE188" s="87"/>
      <c r="IF188" s="87"/>
      <c r="IG188" s="87"/>
      <c r="IH188" s="87"/>
      <c r="II188" s="87"/>
      <c r="IJ188" s="87"/>
      <c r="IK188" s="87"/>
      <c r="IL188" s="87"/>
      <c r="IM188" s="87"/>
      <c r="IN188" s="87"/>
      <c r="IO188" s="87"/>
      <c r="IP188" s="87"/>
      <c r="IQ188" s="87"/>
    </row>
    <row r="189" spans="1:251" s="84" customFormat="1" ht="19.5" customHeight="1">
      <c r="A189" s="79"/>
      <c r="B189" s="79"/>
      <c r="C189" s="80"/>
      <c r="D189" s="89" t="s">
        <v>28</v>
      </c>
      <c r="E189" s="86" t="s">
        <v>167</v>
      </c>
      <c r="F189" s="277">
        <v>1000</v>
      </c>
      <c r="G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87"/>
      <c r="HS189" s="87"/>
      <c r="HT189" s="87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/>
      <c r="II189" s="87"/>
      <c r="IJ189" s="87"/>
      <c r="IK189" s="87"/>
      <c r="IL189" s="87"/>
      <c r="IM189" s="87"/>
      <c r="IN189" s="87"/>
      <c r="IO189" s="87"/>
      <c r="IP189" s="87"/>
      <c r="IQ189" s="87"/>
    </row>
    <row r="190" spans="1:251" s="84" customFormat="1" ht="18" customHeight="1">
      <c r="A190" s="79"/>
      <c r="B190" s="79"/>
      <c r="C190" s="80"/>
      <c r="D190" s="89" t="s">
        <v>38</v>
      </c>
      <c r="E190" s="90" t="s">
        <v>220</v>
      </c>
      <c r="F190" s="277">
        <v>1800</v>
      </c>
      <c r="G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/>
      <c r="HN190" s="87"/>
      <c r="HO190" s="87"/>
      <c r="HP190" s="87"/>
      <c r="HQ190" s="87"/>
      <c r="HR190" s="87"/>
      <c r="HS190" s="87"/>
      <c r="HT190" s="87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/>
      <c r="II190" s="87"/>
      <c r="IJ190" s="87"/>
      <c r="IK190" s="87"/>
      <c r="IL190" s="87"/>
      <c r="IM190" s="87"/>
      <c r="IN190" s="87"/>
      <c r="IO190" s="87"/>
      <c r="IP190" s="87"/>
      <c r="IQ190" s="87"/>
    </row>
    <row r="191" spans="1:251" s="84" customFormat="1" ht="12.75">
      <c r="A191" s="79"/>
      <c r="B191" s="79"/>
      <c r="C191" s="80"/>
      <c r="D191" s="85" t="s">
        <v>58</v>
      </c>
      <c r="E191" s="86" t="s">
        <v>317</v>
      </c>
      <c r="F191" s="276">
        <v>1000</v>
      </c>
      <c r="G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/>
      <c r="HN191" s="87"/>
      <c r="HO191" s="87"/>
      <c r="HP191" s="87"/>
      <c r="HQ191" s="87"/>
      <c r="HR191" s="87"/>
      <c r="HS191" s="87"/>
      <c r="HT191" s="87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/>
      <c r="II191" s="87"/>
      <c r="IJ191" s="87"/>
      <c r="IK191" s="87"/>
      <c r="IL191" s="87"/>
      <c r="IM191" s="87"/>
      <c r="IN191" s="87"/>
      <c r="IO191" s="87"/>
      <c r="IP191" s="87"/>
      <c r="IQ191" s="87"/>
    </row>
    <row r="192" spans="1:251" s="84" customFormat="1" ht="12.75">
      <c r="A192" s="79"/>
      <c r="B192" s="79"/>
      <c r="C192" s="80"/>
      <c r="D192" s="85" t="s">
        <v>35</v>
      </c>
      <c r="E192" s="86" t="s">
        <v>473</v>
      </c>
      <c r="F192" s="276">
        <v>1000</v>
      </c>
      <c r="G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7"/>
      <c r="HT192" s="87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  <c r="IL192" s="87"/>
      <c r="IM192" s="87"/>
      <c r="IN192" s="87"/>
      <c r="IO192" s="87"/>
      <c r="IP192" s="87"/>
      <c r="IQ192" s="87"/>
    </row>
    <row r="193" spans="1:251" s="84" customFormat="1" ht="12.75">
      <c r="A193" s="79"/>
      <c r="B193" s="79"/>
      <c r="C193" s="80"/>
      <c r="D193" s="85" t="s">
        <v>40</v>
      </c>
      <c r="E193" s="86" t="s">
        <v>315</v>
      </c>
      <c r="F193" s="276">
        <v>2000</v>
      </c>
      <c r="G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7"/>
      <c r="HT193" s="87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  <c r="IL193" s="87"/>
      <c r="IM193" s="87"/>
      <c r="IN193" s="87"/>
      <c r="IO193" s="87"/>
      <c r="IP193" s="87"/>
      <c r="IQ193" s="87"/>
    </row>
    <row r="194" spans="1:251" s="84" customFormat="1" ht="12.75">
      <c r="A194" s="79"/>
      <c r="B194" s="79"/>
      <c r="C194" s="80"/>
      <c r="D194" s="85" t="s">
        <v>43</v>
      </c>
      <c r="E194" s="86" t="s">
        <v>478</v>
      </c>
      <c r="F194" s="276">
        <v>4987.49</v>
      </c>
      <c r="G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7"/>
      <c r="HT194" s="87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  <c r="IL194" s="87"/>
      <c r="IM194" s="87"/>
      <c r="IN194" s="87"/>
      <c r="IO194" s="87"/>
      <c r="IP194" s="87"/>
      <c r="IQ194" s="87"/>
    </row>
    <row r="195" spans="1:251" s="84" customFormat="1" ht="16.5" customHeight="1">
      <c r="A195" s="79"/>
      <c r="B195" s="79"/>
      <c r="C195" s="99" t="s">
        <v>133</v>
      </c>
      <c r="D195" s="99"/>
      <c r="E195" s="100" t="s">
        <v>134</v>
      </c>
      <c r="F195" s="274">
        <f>SUM(F196:F211)</f>
        <v>25158</v>
      </c>
      <c r="G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7"/>
      <c r="HT195" s="87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</row>
    <row r="196" spans="1:251" s="84" customFormat="1" ht="22.5" customHeight="1">
      <c r="A196" s="79"/>
      <c r="B196" s="79"/>
      <c r="C196" s="80"/>
      <c r="D196" s="89" t="s">
        <v>112</v>
      </c>
      <c r="E196" s="90" t="s">
        <v>441</v>
      </c>
      <c r="F196" s="277">
        <v>4000</v>
      </c>
      <c r="G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7"/>
      <c r="HT196" s="87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</row>
    <row r="197" spans="1:251" s="84" customFormat="1" ht="12.75">
      <c r="A197" s="79"/>
      <c r="B197" s="79"/>
      <c r="C197" s="80"/>
      <c r="D197" s="85" t="s">
        <v>11</v>
      </c>
      <c r="E197" s="90" t="s">
        <v>167</v>
      </c>
      <c r="F197" s="277">
        <v>1300</v>
      </c>
      <c r="G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7"/>
      <c r="HT197" s="87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</row>
    <row r="198" spans="1:251" s="84" customFormat="1" ht="21.75" customHeight="1">
      <c r="A198" s="79"/>
      <c r="B198" s="79"/>
      <c r="C198" s="80"/>
      <c r="D198" s="89" t="s">
        <v>14</v>
      </c>
      <c r="E198" s="90" t="s">
        <v>454</v>
      </c>
      <c r="F198" s="277">
        <v>3000</v>
      </c>
      <c r="G198" s="87"/>
      <c r="H198" s="261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</row>
    <row r="199" spans="1:251" s="84" customFormat="1" ht="16.5" customHeight="1">
      <c r="A199" s="79"/>
      <c r="B199" s="79"/>
      <c r="C199" s="80"/>
      <c r="D199" s="89" t="s">
        <v>20</v>
      </c>
      <c r="E199" s="90" t="s">
        <v>222</v>
      </c>
      <c r="F199" s="277">
        <v>2500</v>
      </c>
      <c r="G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7"/>
      <c r="HT199" s="87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</row>
    <row r="200" spans="1:251" s="84" customFormat="1" ht="21" customHeight="1">
      <c r="A200" s="79"/>
      <c r="B200" s="79"/>
      <c r="C200" s="80"/>
      <c r="D200" s="89" t="s">
        <v>23</v>
      </c>
      <c r="E200" s="90" t="s">
        <v>161</v>
      </c>
      <c r="F200" s="276">
        <v>1500</v>
      </c>
      <c r="G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7"/>
      <c r="HT200" s="87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  <c r="IL200" s="87"/>
      <c r="IM200" s="87"/>
      <c r="IN200" s="87"/>
      <c r="IO200" s="87"/>
      <c r="IP200" s="87"/>
      <c r="IQ200" s="87"/>
    </row>
    <row r="201" spans="1:251" s="84" customFormat="1" ht="16.5" customHeight="1">
      <c r="A201" s="79"/>
      <c r="B201" s="79"/>
      <c r="C201" s="80"/>
      <c r="D201" s="85" t="s">
        <v>28</v>
      </c>
      <c r="E201" s="86" t="s">
        <v>161</v>
      </c>
      <c r="F201" s="277">
        <v>1000</v>
      </c>
      <c r="G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7"/>
      <c r="HT201" s="87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</row>
    <row r="202" spans="1:251" s="84" customFormat="1" ht="16.5" customHeight="1" hidden="1">
      <c r="A202" s="79"/>
      <c r="B202" s="79"/>
      <c r="C202" s="80"/>
      <c r="D202" s="85" t="s">
        <v>114</v>
      </c>
      <c r="E202" s="86" t="s">
        <v>313</v>
      </c>
      <c r="F202" s="275"/>
      <c r="G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</row>
    <row r="203" spans="1:251" s="84" customFormat="1" ht="16.5" customHeight="1">
      <c r="A203" s="79"/>
      <c r="B203" s="79"/>
      <c r="C203" s="80"/>
      <c r="D203" s="85" t="s">
        <v>115</v>
      </c>
      <c r="E203" s="86" t="s">
        <v>465</v>
      </c>
      <c r="F203" s="276">
        <v>458</v>
      </c>
      <c r="G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</row>
    <row r="204" spans="1:251" s="84" customFormat="1" ht="19.5" customHeight="1">
      <c r="A204" s="79"/>
      <c r="B204" s="79"/>
      <c r="C204" s="80"/>
      <c r="D204" s="89" t="s">
        <v>34</v>
      </c>
      <c r="E204" s="90" t="s">
        <v>423</v>
      </c>
      <c r="F204" s="277">
        <v>2000</v>
      </c>
      <c r="G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7"/>
      <c r="HT204" s="87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  <c r="IL204" s="87"/>
      <c r="IM204" s="87"/>
      <c r="IN204" s="87"/>
      <c r="IO204" s="87"/>
      <c r="IP204" s="87"/>
      <c r="IQ204" s="87"/>
    </row>
    <row r="205" spans="1:251" s="84" customFormat="1" ht="19.5" customHeight="1">
      <c r="A205" s="79"/>
      <c r="B205" s="79"/>
      <c r="C205" s="80"/>
      <c r="D205" s="89" t="s">
        <v>38</v>
      </c>
      <c r="E205" s="90" t="s">
        <v>220</v>
      </c>
      <c r="F205" s="276">
        <v>1500</v>
      </c>
      <c r="G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7"/>
      <c r="HT205" s="87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  <c r="IL205" s="87"/>
      <c r="IM205" s="87"/>
      <c r="IN205" s="87"/>
      <c r="IO205" s="87"/>
      <c r="IP205" s="87"/>
      <c r="IQ205" s="87"/>
    </row>
    <row r="206" spans="1:251" s="84" customFormat="1" ht="16.5" customHeight="1">
      <c r="A206" s="79"/>
      <c r="B206" s="79"/>
      <c r="C206" s="80"/>
      <c r="D206" s="89" t="s">
        <v>43</v>
      </c>
      <c r="E206" s="90" t="s">
        <v>315</v>
      </c>
      <c r="F206" s="276">
        <v>900</v>
      </c>
      <c r="G206" s="87"/>
      <c r="H206" s="261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7"/>
      <c r="HT206" s="87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  <c r="IL206" s="87"/>
      <c r="IM206" s="87"/>
      <c r="IN206" s="87"/>
      <c r="IO206" s="87"/>
      <c r="IP206" s="87"/>
      <c r="IQ206" s="87"/>
    </row>
    <row r="207" spans="1:251" s="84" customFormat="1" ht="16.5" customHeight="1">
      <c r="A207" s="79"/>
      <c r="B207" s="79"/>
      <c r="C207" s="80"/>
      <c r="D207" s="89" t="s">
        <v>49</v>
      </c>
      <c r="E207" s="90" t="s">
        <v>316</v>
      </c>
      <c r="F207" s="276">
        <v>1000</v>
      </c>
      <c r="G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7"/>
      <c r="HT207" s="87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  <c r="IL207" s="87"/>
      <c r="IM207" s="87"/>
      <c r="IN207" s="87"/>
      <c r="IO207" s="87"/>
      <c r="IP207" s="87"/>
      <c r="IQ207" s="87"/>
    </row>
    <row r="208" spans="1:251" s="84" customFormat="1" ht="16.5" customHeight="1" hidden="1">
      <c r="A208" s="79"/>
      <c r="B208" s="79"/>
      <c r="C208" s="80"/>
      <c r="D208" s="89" t="s">
        <v>52</v>
      </c>
      <c r="E208" s="86" t="s">
        <v>211</v>
      </c>
      <c r="F208" s="276"/>
      <c r="G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7"/>
      <c r="HT208" s="87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  <c r="IL208" s="87"/>
      <c r="IM208" s="87"/>
      <c r="IN208" s="87"/>
      <c r="IO208" s="87"/>
      <c r="IP208" s="87"/>
      <c r="IQ208" s="87"/>
    </row>
    <row r="209" spans="1:251" s="84" customFormat="1" ht="27" customHeight="1">
      <c r="A209" s="79"/>
      <c r="B209" s="79"/>
      <c r="C209" s="80"/>
      <c r="D209" s="85" t="s">
        <v>55</v>
      </c>
      <c r="E209" s="86" t="s">
        <v>429</v>
      </c>
      <c r="F209" s="276">
        <v>2000</v>
      </c>
      <c r="G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7"/>
      <c r="HT209" s="87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  <c r="IL209" s="87"/>
      <c r="IM209" s="87"/>
      <c r="IN209" s="87"/>
      <c r="IO209" s="87"/>
      <c r="IP209" s="87"/>
      <c r="IQ209" s="87"/>
    </row>
    <row r="210" spans="1:251" s="84" customFormat="1" ht="25.5" customHeight="1" hidden="1">
      <c r="A210" s="79"/>
      <c r="B210" s="79"/>
      <c r="C210" s="80"/>
      <c r="D210" s="85" t="s">
        <v>58</v>
      </c>
      <c r="E210" s="86" t="s">
        <v>317</v>
      </c>
      <c r="F210" s="276"/>
      <c r="G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7"/>
      <c r="HT210" s="87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  <c r="IL210" s="87"/>
      <c r="IM210" s="87"/>
      <c r="IN210" s="87"/>
      <c r="IO210" s="87"/>
      <c r="IP210" s="87"/>
      <c r="IQ210" s="87"/>
    </row>
    <row r="211" spans="1:251" s="84" customFormat="1" ht="47.25" customHeight="1">
      <c r="A211" s="79"/>
      <c r="B211" s="79"/>
      <c r="C211" s="80"/>
      <c r="D211" s="85" t="s">
        <v>35</v>
      </c>
      <c r="E211" s="86" t="s">
        <v>474</v>
      </c>
      <c r="F211" s="276">
        <v>4000</v>
      </c>
      <c r="G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7"/>
      <c r="HT211" s="87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  <c r="IL211" s="87"/>
      <c r="IM211" s="87"/>
      <c r="IN211" s="87"/>
      <c r="IO211" s="87"/>
      <c r="IP211" s="87"/>
      <c r="IQ211" s="87"/>
    </row>
    <row r="212" spans="1:251" s="84" customFormat="1" ht="16.5" customHeight="1">
      <c r="A212" s="113" t="s">
        <v>162</v>
      </c>
      <c r="B212" s="113"/>
      <c r="C212" s="113"/>
      <c r="D212" s="113"/>
      <c r="E212" s="106" t="s">
        <v>163</v>
      </c>
      <c r="F212" s="272">
        <f>F213+F240</f>
        <v>95018.23999999999</v>
      </c>
      <c r="G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7"/>
      <c r="HT212" s="87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  <c r="IL212" s="87"/>
      <c r="IM212" s="87"/>
      <c r="IN212" s="87"/>
      <c r="IO212" s="87"/>
      <c r="IP212" s="87"/>
      <c r="IQ212" s="87"/>
    </row>
    <row r="213" spans="1:251" s="84" customFormat="1" ht="16.5" customHeight="1">
      <c r="A213" s="107"/>
      <c r="B213" s="105" t="s">
        <v>255</v>
      </c>
      <c r="C213" s="102"/>
      <c r="D213" s="102"/>
      <c r="E213" s="103" t="s">
        <v>256</v>
      </c>
      <c r="F213" s="273">
        <f>F214+F216+F231+F237</f>
        <v>95018.23999999999</v>
      </c>
      <c r="G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7"/>
      <c r="HT213" s="87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  <c r="IL213" s="87"/>
      <c r="IM213" s="87"/>
      <c r="IN213" s="87"/>
      <c r="IO213" s="87"/>
      <c r="IP213" s="87"/>
      <c r="IQ213" s="87"/>
    </row>
    <row r="214" spans="1:251" s="84" customFormat="1" ht="16.5" customHeight="1">
      <c r="A214" s="107"/>
      <c r="B214" s="114"/>
      <c r="C214" s="115" t="s">
        <v>159</v>
      </c>
      <c r="D214" s="115"/>
      <c r="E214" s="116" t="s">
        <v>160</v>
      </c>
      <c r="F214" s="287">
        <f>F215</f>
        <v>3400</v>
      </c>
      <c r="G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7"/>
      <c r="HT214" s="87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  <c r="IL214" s="87"/>
      <c r="IM214" s="87"/>
      <c r="IN214" s="87"/>
      <c r="IO214" s="87"/>
      <c r="IP214" s="87"/>
      <c r="IQ214" s="87"/>
    </row>
    <row r="215" spans="1:251" s="84" customFormat="1" ht="16.5" customHeight="1">
      <c r="A215" s="107"/>
      <c r="B215" s="114"/>
      <c r="C215" s="117"/>
      <c r="D215" s="118" t="s">
        <v>43</v>
      </c>
      <c r="E215" s="119" t="s">
        <v>166</v>
      </c>
      <c r="F215" s="296">
        <v>3400</v>
      </c>
      <c r="G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7"/>
      <c r="HT215" s="87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  <c r="IL215" s="87"/>
      <c r="IM215" s="87"/>
      <c r="IN215" s="87"/>
      <c r="IO215" s="87"/>
      <c r="IP215" s="87"/>
      <c r="IQ215" s="87"/>
    </row>
    <row r="216" spans="1:251" s="84" customFormat="1" ht="16.5" customHeight="1">
      <c r="A216" s="110"/>
      <c r="B216" s="110"/>
      <c r="C216" s="99" t="s">
        <v>131</v>
      </c>
      <c r="D216" s="99"/>
      <c r="E216" s="100" t="s">
        <v>132</v>
      </c>
      <c r="F216" s="274">
        <f>SUM(F217:F230)</f>
        <v>38900</v>
      </c>
      <c r="G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7"/>
      <c r="HT216" s="87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</row>
    <row r="217" spans="1:251" s="84" customFormat="1" ht="18.75" customHeight="1">
      <c r="A217" s="79"/>
      <c r="B217" s="79"/>
      <c r="C217" s="80"/>
      <c r="D217" s="85" t="s">
        <v>113</v>
      </c>
      <c r="E217" s="86" t="s">
        <v>447</v>
      </c>
      <c r="F217" s="277">
        <v>2000</v>
      </c>
      <c r="G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7"/>
      <c r="HT217" s="87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</row>
    <row r="218" spans="1:251" s="84" customFormat="1" ht="21" customHeight="1">
      <c r="A218" s="79"/>
      <c r="B218" s="79"/>
      <c r="C218" s="80"/>
      <c r="D218" s="89" t="s">
        <v>11</v>
      </c>
      <c r="E218" s="90" t="s">
        <v>318</v>
      </c>
      <c r="F218" s="277">
        <v>2500</v>
      </c>
      <c r="G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</row>
    <row r="219" spans="1:251" s="84" customFormat="1" ht="51.75" customHeight="1">
      <c r="A219" s="79"/>
      <c r="B219" s="79"/>
      <c r="C219" s="80"/>
      <c r="D219" s="89" t="s">
        <v>14</v>
      </c>
      <c r="E219" s="90" t="s">
        <v>455</v>
      </c>
      <c r="F219" s="277">
        <v>3500</v>
      </c>
      <c r="G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</row>
    <row r="220" spans="1:251" s="84" customFormat="1" ht="12.75" hidden="1">
      <c r="A220" s="79"/>
      <c r="B220" s="79"/>
      <c r="C220" s="80"/>
      <c r="D220" s="89" t="s">
        <v>20</v>
      </c>
      <c r="E220" s="90" t="s">
        <v>319</v>
      </c>
      <c r="F220" s="276"/>
      <c r="G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</row>
    <row r="221" spans="1:251" s="84" customFormat="1" ht="22.5">
      <c r="A221" s="79"/>
      <c r="B221" s="79"/>
      <c r="C221" s="80"/>
      <c r="D221" s="89" t="s">
        <v>23</v>
      </c>
      <c r="E221" s="90" t="s">
        <v>461</v>
      </c>
      <c r="F221" s="277">
        <v>3500</v>
      </c>
      <c r="G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7"/>
      <c r="HT221" s="87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</row>
    <row r="222" spans="1:251" s="84" customFormat="1" ht="22.5">
      <c r="A222" s="79"/>
      <c r="B222" s="79"/>
      <c r="C222" s="80"/>
      <c r="D222" s="85" t="s">
        <v>28</v>
      </c>
      <c r="E222" s="86" t="s">
        <v>320</v>
      </c>
      <c r="F222" s="277">
        <v>5000</v>
      </c>
      <c r="G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7"/>
      <c r="HT222" s="87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  <c r="IL222" s="87"/>
      <c r="IM222" s="87"/>
      <c r="IN222" s="87"/>
      <c r="IO222" s="87"/>
      <c r="IP222" s="87"/>
      <c r="IQ222" s="87"/>
    </row>
    <row r="223" spans="1:251" s="84" customFormat="1" ht="30.75" customHeight="1" hidden="1">
      <c r="A223" s="79"/>
      <c r="B223" s="79"/>
      <c r="C223" s="80"/>
      <c r="D223" s="85" t="s">
        <v>34</v>
      </c>
      <c r="E223" s="86" t="s">
        <v>243</v>
      </c>
      <c r="F223" s="275"/>
      <c r="G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7"/>
      <c r="HT223" s="87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  <c r="IL223" s="87"/>
      <c r="IM223" s="87"/>
      <c r="IN223" s="87"/>
      <c r="IO223" s="87"/>
      <c r="IP223" s="87"/>
      <c r="IQ223" s="87"/>
    </row>
    <row r="224" spans="1:251" s="84" customFormat="1" ht="16.5" customHeight="1">
      <c r="A224" s="79"/>
      <c r="B224" s="79"/>
      <c r="C224" s="80"/>
      <c r="D224" s="85" t="s">
        <v>38</v>
      </c>
      <c r="E224" s="86" t="s">
        <v>169</v>
      </c>
      <c r="F224" s="276">
        <v>600</v>
      </c>
      <c r="G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7"/>
      <c r="HT224" s="87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  <c r="IL224" s="87"/>
      <c r="IM224" s="87"/>
      <c r="IN224" s="87"/>
      <c r="IO224" s="87"/>
      <c r="IP224" s="87"/>
      <c r="IQ224" s="87"/>
    </row>
    <row r="225" spans="1:251" s="84" customFormat="1" ht="25.5" customHeight="1">
      <c r="A225" s="79"/>
      <c r="B225" s="79"/>
      <c r="C225" s="80"/>
      <c r="D225" s="85" t="s">
        <v>40</v>
      </c>
      <c r="E225" s="86" t="s">
        <v>246</v>
      </c>
      <c r="F225" s="276">
        <v>3300</v>
      </c>
      <c r="G225" s="87"/>
      <c r="H225" s="362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7"/>
      <c r="HT225" s="87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</row>
    <row r="226" spans="1:251" s="84" customFormat="1" ht="16.5" customHeight="1">
      <c r="A226" s="79"/>
      <c r="B226" s="79"/>
      <c r="C226" s="80"/>
      <c r="D226" s="85" t="s">
        <v>43</v>
      </c>
      <c r="E226" s="86" t="s">
        <v>166</v>
      </c>
      <c r="F226" s="276">
        <v>6000</v>
      </c>
      <c r="G226" s="87"/>
      <c r="H226" s="363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</row>
    <row r="227" spans="1:251" s="84" customFormat="1" ht="21.75" customHeight="1">
      <c r="A227" s="79"/>
      <c r="B227" s="79"/>
      <c r="C227" s="80"/>
      <c r="D227" s="85" t="s">
        <v>49</v>
      </c>
      <c r="E227" s="148" t="s">
        <v>321</v>
      </c>
      <c r="F227" s="276">
        <v>1500</v>
      </c>
      <c r="G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7"/>
      <c r="HT227" s="87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</row>
    <row r="228" spans="1:251" s="84" customFormat="1" ht="27.75" customHeight="1" hidden="1">
      <c r="A228" s="79"/>
      <c r="B228" s="79"/>
      <c r="C228" s="80"/>
      <c r="D228" s="191"/>
      <c r="E228" s="192"/>
      <c r="F228" s="297"/>
      <c r="G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7"/>
      <c r="HT228" s="87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</row>
    <row r="229" spans="1:251" s="84" customFormat="1" ht="16.5" customHeight="1" hidden="1">
      <c r="A229" s="79"/>
      <c r="B229" s="79"/>
      <c r="C229" s="80"/>
      <c r="D229" s="85" t="s">
        <v>55</v>
      </c>
      <c r="E229" s="120" t="s">
        <v>247</v>
      </c>
      <c r="F229" s="276">
        <v>0</v>
      </c>
      <c r="G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7"/>
      <c r="HT229" s="87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</row>
    <row r="230" spans="1:251" s="84" customFormat="1" ht="16.5" customHeight="1">
      <c r="A230" s="79"/>
      <c r="B230" s="79"/>
      <c r="C230" s="80"/>
      <c r="D230" s="191" t="s">
        <v>58</v>
      </c>
      <c r="E230" s="194" t="s">
        <v>469</v>
      </c>
      <c r="F230" s="297">
        <v>11000</v>
      </c>
      <c r="G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7"/>
      <c r="HT230" s="87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</row>
    <row r="231" spans="1:251" s="84" customFormat="1" ht="16.5" customHeight="1">
      <c r="A231" s="79"/>
      <c r="B231" s="79"/>
      <c r="C231" s="99" t="s">
        <v>133</v>
      </c>
      <c r="D231" s="99"/>
      <c r="E231" s="193" t="s">
        <v>134</v>
      </c>
      <c r="F231" s="274">
        <f>SUM(F232:F236)</f>
        <v>22718.239999999998</v>
      </c>
      <c r="G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7"/>
      <c r="HT231" s="87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</row>
    <row r="232" spans="1:251" s="84" customFormat="1" ht="16.5" customHeight="1">
      <c r="A232" s="79"/>
      <c r="B232" s="79"/>
      <c r="C232" s="80"/>
      <c r="D232" s="85" t="s">
        <v>113</v>
      </c>
      <c r="E232" s="86" t="s">
        <v>448</v>
      </c>
      <c r="F232" s="277">
        <v>1369.37</v>
      </c>
      <c r="G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7"/>
      <c r="HT232" s="87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</row>
    <row r="233" spans="1:251" s="84" customFormat="1" ht="23.25" customHeight="1" hidden="1">
      <c r="A233" s="79"/>
      <c r="B233" s="79"/>
      <c r="C233" s="80"/>
      <c r="D233" s="85" t="s">
        <v>11</v>
      </c>
      <c r="E233" s="90" t="s">
        <v>318</v>
      </c>
      <c r="F233" s="276"/>
      <c r="G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7"/>
      <c r="HT233" s="87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</row>
    <row r="234" spans="1:251" s="84" customFormat="1" ht="16.5" customHeight="1">
      <c r="A234" s="79"/>
      <c r="B234" s="79"/>
      <c r="C234" s="80"/>
      <c r="D234" s="89" t="s">
        <v>14</v>
      </c>
      <c r="E234" s="90" t="s">
        <v>165</v>
      </c>
      <c r="F234" s="277">
        <v>2000</v>
      </c>
      <c r="G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7"/>
      <c r="HT234" s="87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</row>
    <row r="235" spans="1:251" s="84" customFormat="1" ht="16.5" customHeight="1">
      <c r="A235" s="133"/>
      <c r="B235" s="133"/>
      <c r="C235" s="134"/>
      <c r="D235" s="85" t="s">
        <v>23</v>
      </c>
      <c r="E235" s="86" t="s">
        <v>285</v>
      </c>
      <c r="F235" s="277">
        <v>1000</v>
      </c>
      <c r="G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7"/>
      <c r="HT235" s="87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</row>
    <row r="236" spans="1:251" s="84" customFormat="1" ht="16.5" customHeight="1">
      <c r="A236" s="79"/>
      <c r="B236" s="79"/>
      <c r="C236" s="168"/>
      <c r="D236" s="85" t="s">
        <v>49</v>
      </c>
      <c r="E236" s="86" t="s">
        <v>433</v>
      </c>
      <c r="F236" s="276">
        <v>18348.87</v>
      </c>
      <c r="G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7"/>
      <c r="HT236" s="87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</row>
    <row r="237" spans="1:251" s="84" customFormat="1" ht="16.5" customHeight="1">
      <c r="A237" s="79"/>
      <c r="B237" s="79"/>
      <c r="C237" s="99" t="s">
        <v>225</v>
      </c>
      <c r="D237" s="99"/>
      <c r="E237" s="100" t="s">
        <v>259</v>
      </c>
      <c r="F237" s="274">
        <f>F239+F238</f>
        <v>30000</v>
      </c>
      <c r="G237" s="87"/>
      <c r="H237" s="261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7"/>
      <c r="HT237" s="87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</row>
    <row r="238" spans="1:251" s="84" customFormat="1" ht="16.5" customHeight="1">
      <c r="A238" s="79"/>
      <c r="B238" s="79"/>
      <c r="C238" s="167"/>
      <c r="D238" s="85" t="s">
        <v>113</v>
      </c>
      <c r="E238" s="86" t="s">
        <v>449</v>
      </c>
      <c r="F238" s="277">
        <v>22000</v>
      </c>
      <c r="G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7"/>
      <c r="HT238" s="87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</row>
    <row r="239" spans="1:251" s="84" customFormat="1" ht="25.5" customHeight="1">
      <c r="A239" s="133"/>
      <c r="B239" s="133"/>
      <c r="C239" s="134"/>
      <c r="D239" s="85" t="s">
        <v>11</v>
      </c>
      <c r="E239" s="86" t="s">
        <v>431</v>
      </c>
      <c r="F239" s="277">
        <v>8000</v>
      </c>
      <c r="G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7"/>
      <c r="HT239" s="87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</row>
    <row r="240" spans="1:251" s="84" customFormat="1" ht="16.5" customHeight="1" hidden="1">
      <c r="A240" s="107"/>
      <c r="B240" s="195" t="s">
        <v>164</v>
      </c>
      <c r="C240" s="196"/>
      <c r="D240" s="102"/>
      <c r="E240" s="103" t="s">
        <v>136</v>
      </c>
      <c r="F240" s="283">
        <f>F241+F246</f>
        <v>0</v>
      </c>
      <c r="G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7"/>
      <c r="HT240" s="87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</row>
    <row r="241" spans="1:251" s="84" customFormat="1" ht="16.5" customHeight="1" hidden="1">
      <c r="A241" s="110"/>
      <c r="B241" s="110"/>
      <c r="C241" s="99" t="s">
        <v>131</v>
      </c>
      <c r="D241" s="99"/>
      <c r="E241" s="100" t="s">
        <v>132</v>
      </c>
      <c r="F241" s="292">
        <f>F242+F244+F245</f>
        <v>0</v>
      </c>
      <c r="G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7"/>
      <c r="HT241" s="87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</row>
    <row r="242" spans="1:251" s="84" customFormat="1" ht="23.25" customHeight="1" hidden="1">
      <c r="A242" s="133"/>
      <c r="B242" s="133"/>
      <c r="C242" s="134"/>
      <c r="D242" s="85" t="s">
        <v>40</v>
      </c>
      <c r="E242" s="88" t="s">
        <v>246</v>
      </c>
      <c r="F242" s="277"/>
      <c r="G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7"/>
      <c r="HT242" s="87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</row>
    <row r="243" spans="1:251" s="84" customFormat="1" ht="16.5" customHeight="1" hidden="1">
      <c r="A243" s="79"/>
      <c r="B243" s="79"/>
      <c r="C243" s="80"/>
      <c r="D243" s="89" t="s">
        <v>11</v>
      </c>
      <c r="E243" s="90" t="s">
        <v>201</v>
      </c>
      <c r="F243" s="276"/>
      <c r="G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7"/>
      <c r="HT243" s="87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</row>
    <row r="244" spans="1:251" s="84" customFormat="1" ht="16.5" customHeight="1" hidden="1">
      <c r="A244" s="79"/>
      <c r="B244" s="79"/>
      <c r="C244" s="80"/>
      <c r="D244" s="89"/>
      <c r="E244" s="90"/>
      <c r="F244" s="276"/>
      <c r="G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</row>
    <row r="245" spans="1:251" s="84" customFormat="1" ht="12.75" hidden="1">
      <c r="A245" s="79"/>
      <c r="B245" s="79"/>
      <c r="C245" s="80"/>
      <c r="D245" s="89" t="s">
        <v>20</v>
      </c>
      <c r="E245" s="90" t="s">
        <v>218</v>
      </c>
      <c r="F245" s="276"/>
      <c r="G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7"/>
      <c r="HT245" s="87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</row>
    <row r="246" spans="1:251" s="84" customFormat="1" ht="16.5" customHeight="1" hidden="1">
      <c r="A246" s="79"/>
      <c r="B246" s="79"/>
      <c r="C246" s="99" t="s">
        <v>133</v>
      </c>
      <c r="D246" s="99"/>
      <c r="E246" s="100" t="s">
        <v>134</v>
      </c>
      <c r="F246" s="292">
        <f>F247+F248</f>
        <v>0</v>
      </c>
      <c r="G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7"/>
      <c r="HT246" s="87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</row>
    <row r="247" spans="1:251" s="84" customFormat="1" ht="16.5" customHeight="1" hidden="1">
      <c r="A247" s="79"/>
      <c r="B247" s="79"/>
      <c r="C247" s="80"/>
      <c r="D247" s="85" t="s">
        <v>14</v>
      </c>
      <c r="E247" s="86" t="s">
        <v>244</v>
      </c>
      <c r="F247" s="277"/>
      <c r="G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7"/>
      <c r="HT247" s="87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</row>
    <row r="248" spans="1:251" s="84" customFormat="1" ht="23.25" customHeight="1" hidden="1">
      <c r="A248" s="133"/>
      <c r="B248" s="133"/>
      <c r="C248" s="134"/>
      <c r="D248" s="85" t="s">
        <v>34</v>
      </c>
      <c r="E248" s="86" t="s">
        <v>243</v>
      </c>
      <c r="F248" s="277"/>
      <c r="G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</row>
    <row r="249" spans="1:251" s="84" customFormat="1" ht="13.5" customHeight="1">
      <c r="A249" s="83"/>
      <c r="B249" s="83"/>
      <c r="C249" s="83"/>
      <c r="D249" s="83"/>
      <c r="E249" s="83"/>
      <c r="F249" s="298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7"/>
      <c r="HT249" s="87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</row>
    <row r="250" spans="1:6" ht="23.25" customHeight="1">
      <c r="A250" s="349" t="s">
        <v>116</v>
      </c>
      <c r="B250" s="350"/>
      <c r="C250" s="350"/>
      <c r="D250" s="350"/>
      <c r="E250" s="350"/>
      <c r="F250" s="299">
        <f>F212+F109+F71+F60+F49+F41+F37+F17+F7</f>
        <v>469210.55</v>
      </c>
    </row>
    <row r="251" spans="1:6" ht="23.25" customHeight="1">
      <c r="A251" s="163"/>
      <c r="B251" s="163"/>
      <c r="C251" s="164"/>
      <c r="D251" s="164"/>
      <c r="E251" s="301" t="s">
        <v>253</v>
      </c>
      <c r="F251" s="300">
        <f>F250-F252</f>
        <v>418576</v>
      </c>
    </row>
    <row r="252" spans="1:6" ht="23.25" customHeight="1">
      <c r="A252" s="64"/>
      <c r="B252" s="163"/>
      <c r="C252" s="164"/>
      <c r="D252" s="164"/>
      <c r="E252" s="265" t="s">
        <v>254</v>
      </c>
      <c r="F252" s="300">
        <f>F237+F157+F12</f>
        <v>50634.55</v>
      </c>
    </row>
    <row r="253" spans="1:6" ht="12.75">
      <c r="A253" s="64"/>
      <c r="B253"/>
      <c r="C253" s="164"/>
      <c r="D253" s="164"/>
      <c r="E253" s="164"/>
      <c r="F253" s="164"/>
    </row>
    <row r="254" spans="1:6" ht="12.75">
      <c r="A254" s="64"/>
      <c r="B254"/>
      <c r="C254"/>
      <c r="D254"/>
      <c r="E254"/>
      <c r="F254"/>
    </row>
    <row r="255" spans="1:6" ht="12.75">
      <c r="A255"/>
      <c r="B255"/>
      <c r="C255"/>
      <c r="D255"/>
      <c r="E255"/>
      <c r="F255" s="75"/>
    </row>
  </sheetData>
  <sheetProtection selectLockedCells="1" selectUnlockedCells="1"/>
  <mergeCells count="16">
    <mergeCell ref="H225:H226"/>
    <mergeCell ref="C86:C92"/>
    <mergeCell ref="A8:A16"/>
    <mergeCell ref="B12:B16"/>
    <mergeCell ref="A111:A115"/>
    <mergeCell ref="B111:B113"/>
    <mergeCell ref="C44:C45"/>
    <mergeCell ref="C94:C95"/>
    <mergeCell ref="A250:E250"/>
    <mergeCell ref="A1:F1"/>
    <mergeCell ref="A2:F2"/>
    <mergeCell ref="A3:F3"/>
    <mergeCell ref="A5:F5"/>
    <mergeCell ref="C13:C16"/>
    <mergeCell ref="B92:B95"/>
    <mergeCell ref="C141:C142"/>
  </mergeCells>
  <printOptions/>
  <pageMargins left="0.5118110236220472" right="0.31496062992125984" top="0.35433070866141736" bottom="0.1968503937007874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44" customWidth="1"/>
    <col min="2" max="2" width="64.57421875" style="244" customWidth="1"/>
    <col min="3" max="3" width="11.28125" style="244" customWidth="1"/>
    <col min="4" max="4" width="13.00390625" style="244" customWidth="1"/>
  </cols>
  <sheetData>
    <row r="1" spans="1:6" ht="12.75">
      <c r="A1" s="373" t="s">
        <v>373</v>
      </c>
      <c r="B1" s="373"/>
      <c r="C1" s="373"/>
      <c r="D1" s="373"/>
      <c r="E1" s="245"/>
      <c r="F1" s="245"/>
    </row>
    <row r="2" spans="1:6" ht="15" customHeight="1">
      <c r="A2" s="374" t="s">
        <v>375</v>
      </c>
      <c r="B2" s="374"/>
      <c r="C2" s="374"/>
      <c r="D2" s="374"/>
      <c r="E2" s="246"/>
      <c r="F2" s="246"/>
    </row>
    <row r="3" spans="1:6" ht="36">
      <c r="A3" s="197" t="s">
        <v>324</v>
      </c>
      <c r="B3" s="198" t="s">
        <v>325</v>
      </c>
      <c r="C3" s="199" t="s">
        <v>374</v>
      </c>
      <c r="D3" s="199" t="s">
        <v>376</v>
      </c>
      <c r="E3" s="74"/>
      <c r="F3" s="74"/>
    </row>
    <row r="4" spans="1:4" ht="12.75">
      <c r="A4" s="200" t="s">
        <v>326</v>
      </c>
      <c r="B4" s="201" t="s">
        <v>112</v>
      </c>
      <c r="C4" s="200">
        <v>269</v>
      </c>
      <c r="D4" s="202">
        <f>SUM(D5:D8)</f>
        <v>19684.41</v>
      </c>
    </row>
    <row r="5" spans="1:4" ht="12.75">
      <c r="A5" s="203"/>
      <c r="B5" s="204" t="s">
        <v>174</v>
      </c>
      <c r="C5" s="205"/>
      <c r="D5" s="206">
        <f>2184.41+1000</f>
        <v>3184.41</v>
      </c>
    </row>
    <row r="6" spans="1:4" ht="12.75">
      <c r="A6" s="203"/>
      <c r="B6" s="204" t="s">
        <v>327</v>
      </c>
      <c r="C6" s="205"/>
      <c r="D6" s="207">
        <v>12000</v>
      </c>
    </row>
    <row r="7" spans="1:4" ht="12.75">
      <c r="A7" s="203"/>
      <c r="B7" s="204" t="s">
        <v>328</v>
      </c>
      <c r="C7" s="205"/>
      <c r="D7" s="207">
        <v>4500</v>
      </c>
    </row>
    <row r="8" spans="1:4" ht="12.75" hidden="1">
      <c r="A8" s="203"/>
      <c r="B8" s="204"/>
      <c r="C8" s="205"/>
      <c r="D8" s="206"/>
    </row>
    <row r="9" spans="1:4" ht="12.75">
      <c r="A9" s="200" t="s">
        <v>329</v>
      </c>
      <c r="B9" s="201" t="s">
        <v>113</v>
      </c>
      <c r="C9" s="200">
        <v>401</v>
      </c>
      <c r="D9" s="202">
        <f>SUM(D10:D14)</f>
        <v>25224.58</v>
      </c>
    </row>
    <row r="10" spans="1:4" ht="12.75">
      <c r="A10" s="208"/>
      <c r="B10" s="209" t="s">
        <v>377</v>
      </c>
      <c r="C10" s="208"/>
      <c r="D10" s="210">
        <v>1724.58</v>
      </c>
    </row>
    <row r="11" spans="1:4" ht="12.75">
      <c r="A11" s="208"/>
      <c r="B11" s="209" t="s">
        <v>378</v>
      </c>
      <c r="C11" s="208"/>
      <c r="D11" s="210">
        <f>2300+3200</f>
        <v>5500</v>
      </c>
    </row>
    <row r="12" spans="1:4" ht="12.75">
      <c r="A12" s="203"/>
      <c r="B12" s="204" t="s">
        <v>379</v>
      </c>
      <c r="C12" s="211"/>
      <c r="D12" s="210">
        <f>7000+1000</f>
        <v>8000</v>
      </c>
    </row>
    <row r="13" spans="1:4" ht="12.75">
      <c r="A13" s="203"/>
      <c r="B13" s="209" t="s">
        <v>281</v>
      </c>
      <c r="C13" s="211"/>
      <c r="D13" s="210">
        <v>10000</v>
      </c>
    </row>
    <row r="14" spans="1:4" ht="12.75" hidden="1">
      <c r="A14" s="203"/>
      <c r="B14" s="204"/>
      <c r="C14" s="211"/>
      <c r="D14" s="210"/>
    </row>
    <row r="15" spans="1:4" ht="12.75">
      <c r="A15" s="200" t="s">
        <v>330</v>
      </c>
      <c r="B15" s="212" t="s">
        <v>11</v>
      </c>
      <c r="C15" s="200">
        <v>291</v>
      </c>
      <c r="D15" s="213">
        <f>SUM(D16:D21)</f>
        <v>20607.77</v>
      </c>
    </row>
    <row r="16" spans="1:4" ht="12.75">
      <c r="A16" s="208"/>
      <c r="B16" s="209" t="s">
        <v>331</v>
      </c>
      <c r="C16" s="208"/>
      <c r="D16" s="206">
        <v>3000</v>
      </c>
    </row>
    <row r="17" spans="1:4" ht="12.75">
      <c r="A17" s="203"/>
      <c r="B17" s="209" t="s">
        <v>332</v>
      </c>
      <c r="C17" s="211"/>
      <c r="D17" s="206">
        <v>1500</v>
      </c>
    </row>
    <row r="18" spans="1:4" ht="12.75">
      <c r="A18" s="203"/>
      <c r="B18" s="209" t="s">
        <v>380</v>
      </c>
      <c r="C18" s="211"/>
      <c r="D18" s="206">
        <v>1000</v>
      </c>
    </row>
    <row r="19" spans="1:4" ht="12.75">
      <c r="A19" s="203"/>
      <c r="B19" s="209" t="s">
        <v>167</v>
      </c>
      <c r="C19" s="211"/>
      <c r="D19" s="206">
        <f>3000+1000</f>
        <v>4000</v>
      </c>
    </row>
    <row r="20" spans="1:4" ht="12.75">
      <c r="A20" s="203"/>
      <c r="B20" s="209" t="s">
        <v>318</v>
      </c>
      <c r="C20" s="211"/>
      <c r="D20" s="206">
        <f>3200+800</f>
        <v>4000</v>
      </c>
    </row>
    <row r="21" spans="1:4" ht="12.75">
      <c r="A21" s="203"/>
      <c r="B21" s="209" t="s">
        <v>323</v>
      </c>
      <c r="C21" s="211"/>
      <c r="D21" s="206">
        <v>7107.77</v>
      </c>
    </row>
    <row r="22" spans="1:4" ht="12.75">
      <c r="A22" s="200" t="s">
        <v>333</v>
      </c>
      <c r="B22" s="201" t="s">
        <v>14</v>
      </c>
      <c r="C22" s="200">
        <v>741</v>
      </c>
      <c r="D22" s="202">
        <f>SUM(D23:D30)</f>
        <v>39494.72</v>
      </c>
    </row>
    <row r="23" spans="1:4" ht="12.75">
      <c r="A23" s="203"/>
      <c r="B23" s="204" t="s">
        <v>224</v>
      </c>
      <c r="C23" s="214"/>
      <c r="D23" s="206">
        <v>3000</v>
      </c>
    </row>
    <row r="24" spans="1:4" ht="12.75">
      <c r="A24" s="203"/>
      <c r="B24" s="215" t="s">
        <v>282</v>
      </c>
      <c r="C24" s="214"/>
      <c r="D24" s="206">
        <v>4000</v>
      </c>
    </row>
    <row r="25" spans="1:4" ht="12.75">
      <c r="A25" s="203"/>
      <c r="B25" s="204" t="s">
        <v>223</v>
      </c>
      <c r="C25" s="214"/>
      <c r="D25" s="206">
        <v>1000</v>
      </c>
    </row>
    <row r="26" spans="1:4" ht="22.5">
      <c r="A26" s="203"/>
      <c r="B26" s="204" t="s">
        <v>381</v>
      </c>
      <c r="C26" s="214"/>
      <c r="D26" s="206">
        <f>2500+15994.72</f>
        <v>18494.72</v>
      </c>
    </row>
    <row r="27" spans="1:4" ht="12.75">
      <c r="A27" s="203"/>
      <c r="B27" s="204" t="s">
        <v>214</v>
      </c>
      <c r="C27" s="214"/>
      <c r="D27" s="206">
        <f>1500+2500+4000</f>
        <v>8000</v>
      </c>
    </row>
    <row r="28" spans="1:4" ht="12.75">
      <c r="A28" s="203"/>
      <c r="B28" s="204" t="s">
        <v>334</v>
      </c>
      <c r="C28" s="214"/>
      <c r="D28" s="206">
        <f>3000+2000</f>
        <v>5000</v>
      </c>
    </row>
    <row r="29" spans="1:4" ht="12.75" hidden="1">
      <c r="A29" s="203"/>
      <c r="B29" s="204" t="s">
        <v>214</v>
      </c>
      <c r="C29" s="214"/>
      <c r="D29" s="206"/>
    </row>
    <row r="30" spans="1:4" ht="12.75" hidden="1">
      <c r="A30" s="203"/>
      <c r="B30" s="204" t="s">
        <v>334</v>
      </c>
      <c r="C30" s="214"/>
      <c r="D30" s="206"/>
    </row>
    <row r="31" spans="1:4" ht="12.75">
      <c r="A31" s="200" t="s">
        <v>335</v>
      </c>
      <c r="B31" s="201" t="s">
        <v>20</v>
      </c>
      <c r="C31" s="200">
        <v>357</v>
      </c>
      <c r="D31" s="202">
        <f>SUM(D32:D39)</f>
        <v>23377.86</v>
      </c>
    </row>
    <row r="32" spans="1:4" ht="12.75">
      <c r="A32" s="208"/>
      <c r="B32" s="209" t="s">
        <v>294</v>
      </c>
      <c r="C32" s="208"/>
      <c r="D32" s="216">
        <v>300</v>
      </c>
    </row>
    <row r="33" spans="1:4" ht="12.75">
      <c r="A33" s="203"/>
      <c r="B33" s="209" t="s">
        <v>382</v>
      </c>
      <c r="C33" s="211"/>
      <c r="D33" s="206">
        <v>2980</v>
      </c>
    </row>
    <row r="34" spans="1:4" ht="12.75">
      <c r="A34" s="203"/>
      <c r="B34" s="215" t="s">
        <v>251</v>
      </c>
      <c r="C34" s="211"/>
      <c r="D34" s="206">
        <v>1800</v>
      </c>
    </row>
    <row r="35" spans="1:4" ht="22.5">
      <c r="A35" s="203"/>
      <c r="B35" s="209" t="s">
        <v>383</v>
      </c>
      <c r="C35" s="211"/>
      <c r="D35" s="206">
        <v>2000</v>
      </c>
    </row>
    <row r="36" spans="1:4" ht="12.75">
      <c r="A36" s="203"/>
      <c r="B36" s="209" t="s">
        <v>311</v>
      </c>
      <c r="C36" s="211"/>
      <c r="D36" s="206">
        <v>3000</v>
      </c>
    </row>
    <row r="37" spans="1:4" ht="12.75">
      <c r="A37" s="203"/>
      <c r="B37" s="209" t="s">
        <v>222</v>
      </c>
      <c r="C37" s="211"/>
      <c r="D37" s="206">
        <f>3597.86+2500</f>
        <v>6097.860000000001</v>
      </c>
    </row>
    <row r="38" spans="1:4" ht="12.75">
      <c r="A38" s="203"/>
      <c r="B38" s="204" t="s">
        <v>384</v>
      </c>
      <c r="C38" s="211"/>
      <c r="D38" s="217">
        <v>5200</v>
      </c>
    </row>
    <row r="39" spans="1:4" ht="12.75">
      <c r="A39" s="203"/>
      <c r="B39" s="204" t="s">
        <v>385</v>
      </c>
      <c r="C39" s="211"/>
      <c r="D39" s="217">
        <v>2000</v>
      </c>
    </row>
    <row r="40" spans="1:4" ht="12.75">
      <c r="A40" s="200" t="s">
        <v>336</v>
      </c>
      <c r="B40" s="201" t="s">
        <v>23</v>
      </c>
      <c r="C40" s="200">
        <v>154</v>
      </c>
      <c r="D40" s="202">
        <f>SUM(D41:D47)</f>
        <v>14857.74</v>
      </c>
    </row>
    <row r="41" spans="1:4" ht="12.75">
      <c r="A41" s="203"/>
      <c r="B41" s="204" t="s">
        <v>386</v>
      </c>
      <c r="C41" s="214"/>
      <c r="D41" s="206">
        <v>4000</v>
      </c>
    </row>
    <row r="42" spans="1:4" ht="12.75">
      <c r="A42" s="203"/>
      <c r="B42" s="204" t="s">
        <v>387</v>
      </c>
      <c r="C42" s="214"/>
      <c r="D42" s="206">
        <v>2500</v>
      </c>
    </row>
    <row r="43" spans="1:4" ht="12.75">
      <c r="A43" s="203"/>
      <c r="B43" s="204" t="s">
        <v>167</v>
      </c>
      <c r="C43" s="214"/>
      <c r="D43" s="206">
        <f>1857.74+1000</f>
        <v>2857.74</v>
      </c>
    </row>
    <row r="44" spans="1:4" ht="12.75">
      <c r="A44" s="203"/>
      <c r="B44" s="204" t="s">
        <v>218</v>
      </c>
      <c r="C44" s="214"/>
      <c r="D44" s="206">
        <v>1500</v>
      </c>
    </row>
    <row r="45" spans="1:4" ht="12.75">
      <c r="A45" s="203"/>
      <c r="B45" s="204" t="s">
        <v>216</v>
      </c>
      <c r="C45" s="214"/>
      <c r="D45" s="206">
        <f>2000+1000</f>
        <v>3000</v>
      </c>
    </row>
    <row r="46" spans="1:4" ht="12.75">
      <c r="A46" s="203"/>
      <c r="B46" s="204" t="s">
        <v>168</v>
      </c>
      <c r="C46" s="214"/>
      <c r="D46" s="206">
        <v>1000</v>
      </c>
    </row>
    <row r="47" spans="1:4" ht="12.75" hidden="1">
      <c r="A47" s="218"/>
      <c r="B47" s="219" t="s">
        <v>337</v>
      </c>
      <c r="C47" s="219"/>
      <c r="D47" s="220"/>
    </row>
    <row r="48" spans="1:4" ht="12.75">
      <c r="A48" s="200" t="s">
        <v>338</v>
      </c>
      <c r="B48" s="201" t="s">
        <v>28</v>
      </c>
      <c r="C48" s="200">
        <v>460</v>
      </c>
      <c r="D48" s="202">
        <f>SUM(D49:D56)</f>
        <v>27700.87</v>
      </c>
    </row>
    <row r="49" spans="1:4" ht="12.75">
      <c r="A49" s="208"/>
      <c r="B49" s="209" t="s">
        <v>251</v>
      </c>
      <c r="C49" s="221"/>
      <c r="D49" s="210">
        <v>5000</v>
      </c>
    </row>
    <row r="50" spans="1:4" ht="12.75">
      <c r="A50" s="208"/>
      <c r="B50" s="209" t="s">
        <v>339</v>
      </c>
      <c r="C50" s="221"/>
      <c r="D50" s="210">
        <v>7700.87</v>
      </c>
    </row>
    <row r="51" spans="1:4" ht="12.75">
      <c r="A51" s="203"/>
      <c r="B51" s="209" t="s">
        <v>167</v>
      </c>
      <c r="C51" s="221"/>
      <c r="D51" s="206">
        <f>2000+3000</f>
        <v>5000</v>
      </c>
    </row>
    <row r="52" spans="1:4" ht="12.75">
      <c r="A52" s="203"/>
      <c r="B52" s="209" t="s">
        <v>320</v>
      </c>
      <c r="C52" s="221"/>
      <c r="D52" s="206">
        <v>10000</v>
      </c>
    </row>
    <row r="53" spans="1:4" ht="12.75" hidden="1">
      <c r="A53" s="203"/>
      <c r="B53" s="209" t="s">
        <v>340</v>
      </c>
      <c r="C53" s="221"/>
      <c r="D53" s="206"/>
    </row>
    <row r="54" spans="1:4" ht="12.75" hidden="1">
      <c r="A54" s="203"/>
      <c r="B54" s="209" t="s">
        <v>167</v>
      </c>
      <c r="C54" s="221"/>
      <c r="D54" s="206"/>
    </row>
    <row r="55" spans="1:4" ht="12.75" hidden="1">
      <c r="A55" s="203"/>
      <c r="B55" s="209" t="s">
        <v>341</v>
      </c>
      <c r="C55" s="221"/>
      <c r="D55" s="206"/>
    </row>
    <row r="56" spans="1:4" ht="12.75" hidden="1">
      <c r="A56" s="203"/>
      <c r="B56" s="209" t="s">
        <v>245</v>
      </c>
      <c r="C56" s="221"/>
      <c r="D56" s="206"/>
    </row>
    <row r="57" spans="1:4" ht="12.75">
      <c r="A57" s="200" t="s">
        <v>342</v>
      </c>
      <c r="B57" s="201" t="s">
        <v>114</v>
      </c>
      <c r="C57" s="200">
        <v>53</v>
      </c>
      <c r="D57" s="202">
        <f>SUM(D58:D61)</f>
        <v>10618.67</v>
      </c>
    </row>
    <row r="58" spans="1:4" ht="12.75">
      <c r="A58" s="208"/>
      <c r="B58" s="211" t="s">
        <v>313</v>
      </c>
      <c r="C58" s="208"/>
      <c r="D58" s="216">
        <v>10618.67</v>
      </c>
    </row>
    <row r="59" spans="1:4" ht="12.75" hidden="1">
      <c r="A59" s="208"/>
      <c r="B59" s="211" t="s">
        <v>250</v>
      </c>
      <c r="C59" s="208"/>
      <c r="D59" s="216"/>
    </row>
    <row r="60" spans="1:4" ht="12.75" hidden="1">
      <c r="A60" s="208"/>
      <c r="B60" s="211" t="s">
        <v>343</v>
      </c>
      <c r="C60" s="208"/>
      <c r="D60" s="206"/>
    </row>
    <row r="61" spans="1:4" ht="12.75" hidden="1">
      <c r="A61" s="218"/>
      <c r="B61" s="222" t="s">
        <v>344</v>
      </c>
      <c r="C61" s="223"/>
      <c r="D61" s="220"/>
    </row>
    <row r="62" spans="1:4" ht="12.75">
      <c r="A62" s="200" t="s">
        <v>345</v>
      </c>
      <c r="B62" s="201" t="s">
        <v>115</v>
      </c>
      <c r="C62" s="200">
        <v>83</v>
      </c>
      <c r="D62" s="202">
        <f>SUM(D63:D69)</f>
        <v>11877.8</v>
      </c>
    </row>
    <row r="63" spans="1:4" ht="12.75">
      <c r="A63" s="203"/>
      <c r="B63" s="204" t="s">
        <v>286</v>
      </c>
      <c r="C63" s="221"/>
      <c r="D63" s="206">
        <v>1000</v>
      </c>
    </row>
    <row r="64" spans="1:4" ht="12.75">
      <c r="A64" s="203"/>
      <c r="B64" s="209" t="s">
        <v>213</v>
      </c>
      <c r="C64" s="221"/>
      <c r="D64" s="206">
        <v>1000</v>
      </c>
    </row>
    <row r="65" spans="1:4" ht="12.75">
      <c r="A65" s="203"/>
      <c r="B65" s="209" t="s">
        <v>309</v>
      </c>
      <c r="C65" s="221"/>
      <c r="D65" s="206">
        <v>7400</v>
      </c>
    </row>
    <row r="66" spans="1:4" ht="12.75">
      <c r="A66" s="203"/>
      <c r="B66" s="209" t="s">
        <v>287</v>
      </c>
      <c r="C66" s="221"/>
      <c r="D66" s="206">
        <v>1677.8</v>
      </c>
    </row>
    <row r="67" spans="1:4" ht="12.75">
      <c r="A67" s="203"/>
      <c r="B67" s="211" t="s">
        <v>314</v>
      </c>
      <c r="C67" s="221"/>
      <c r="D67" s="206">
        <v>800</v>
      </c>
    </row>
    <row r="68" spans="1:4" ht="12.75" hidden="1">
      <c r="A68" s="203"/>
      <c r="B68" s="211" t="s">
        <v>346</v>
      </c>
      <c r="C68" s="221"/>
      <c r="D68" s="206"/>
    </row>
    <row r="69" spans="1:4" ht="12.75" hidden="1">
      <c r="A69" s="218"/>
      <c r="B69" s="224" t="s">
        <v>347</v>
      </c>
      <c r="C69" s="225"/>
      <c r="D69" s="220"/>
    </row>
    <row r="70" spans="1:4" ht="12.75">
      <c r="A70" s="200" t="s">
        <v>348</v>
      </c>
      <c r="B70" s="201" t="s">
        <v>34</v>
      </c>
      <c r="C70" s="200">
        <v>577</v>
      </c>
      <c r="D70" s="202">
        <f>SUM(D71:D77)</f>
        <v>32611.48</v>
      </c>
    </row>
    <row r="71" spans="1:4" ht="12.75">
      <c r="A71" s="247"/>
      <c r="B71" s="211" t="s">
        <v>290</v>
      </c>
      <c r="C71" s="247"/>
      <c r="D71" s="210">
        <v>500</v>
      </c>
    </row>
    <row r="72" spans="1:4" ht="12.75">
      <c r="A72" s="208"/>
      <c r="B72" s="211" t="s">
        <v>252</v>
      </c>
      <c r="C72" s="221"/>
      <c r="D72" s="210">
        <v>1500</v>
      </c>
    </row>
    <row r="73" spans="1:4" ht="12.75">
      <c r="A73" s="208"/>
      <c r="B73" s="209" t="s">
        <v>288</v>
      </c>
      <c r="C73" s="221"/>
      <c r="D73" s="210">
        <v>2000</v>
      </c>
    </row>
    <row r="74" spans="1:4" ht="12.75">
      <c r="A74" s="208"/>
      <c r="B74" s="209" t="s">
        <v>307</v>
      </c>
      <c r="C74" s="208"/>
      <c r="D74" s="226">
        <v>9000</v>
      </c>
    </row>
    <row r="75" spans="1:4" ht="12.75">
      <c r="A75" s="208"/>
      <c r="B75" s="209" t="s">
        <v>388</v>
      </c>
      <c r="C75" s="208"/>
      <c r="D75" s="226">
        <v>2000</v>
      </c>
    </row>
    <row r="76" spans="1:4" ht="12.75">
      <c r="A76" s="203"/>
      <c r="B76" s="209" t="s">
        <v>349</v>
      </c>
      <c r="C76" s="221"/>
      <c r="D76" s="206">
        <f>4441.88+388.8+1180.8+4600</f>
        <v>10611.48</v>
      </c>
    </row>
    <row r="77" spans="1:4" ht="12.75">
      <c r="A77" s="203"/>
      <c r="B77" s="209" t="s">
        <v>389</v>
      </c>
      <c r="C77" s="221"/>
      <c r="D77" s="206">
        <f>3500+3500</f>
        <v>7000</v>
      </c>
    </row>
    <row r="78" spans="1:4" ht="12.75">
      <c r="A78" s="200" t="s">
        <v>350</v>
      </c>
      <c r="B78" s="201" t="s">
        <v>38</v>
      </c>
      <c r="C78" s="200">
        <v>193</v>
      </c>
      <c r="D78" s="202">
        <f>SUM(D79:D83)</f>
        <v>16494.61</v>
      </c>
    </row>
    <row r="79" spans="1:4" ht="12.75">
      <c r="A79" s="203"/>
      <c r="B79" s="209" t="s">
        <v>310</v>
      </c>
      <c r="C79" s="221"/>
      <c r="D79" s="206">
        <v>10700</v>
      </c>
    </row>
    <row r="80" spans="1:4" ht="12.75">
      <c r="A80" s="203"/>
      <c r="B80" s="227" t="s">
        <v>220</v>
      </c>
      <c r="C80" s="221"/>
      <c r="D80" s="206">
        <f>2000+1500</f>
        <v>3500</v>
      </c>
    </row>
    <row r="81" spans="1:4" ht="12.75">
      <c r="A81" s="203"/>
      <c r="B81" s="227" t="s">
        <v>390</v>
      </c>
      <c r="C81" s="221"/>
      <c r="D81" s="206">
        <v>1694.61</v>
      </c>
    </row>
    <row r="82" spans="1:4" ht="12.75">
      <c r="A82" s="203"/>
      <c r="B82" s="209" t="s">
        <v>169</v>
      </c>
      <c r="C82" s="221"/>
      <c r="D82" s="206">
        <v>600</v>
      </c>
    </row>
    <row r="83" spans="1:4" ht="12.75" hidden="1">
      <c r="A83" s="203"/>
      <c r="B83" s="209" t="s">
        <v>169</v>
      </c>
      <c r="C83" s="221"/>
      <c r="D83" s="206"/>
    </row>
    <row r="84" spans="1:4" ht="12.75">
      <c r="A84" s="200" t="s">
        <v>351</v>
      </c>
      <c r="B84" s="201" t="s">
        <v>40</v>
      </c>
      <c r="C84" s="200">
        <v>1190</v>
      </c>
      <c r="D84" s="202">
        <f>SUM(D85:D95)</f>
        <v>41971.01</v>
      </c>
    </row>
    <row r="85" spans="1:4" ht="12.75" hidden="1">
      <c r="A85" s="228"/>
      <c r="B85" s="204" t="s">
        <v>352</v>
      </c>
      <c r="C85" s="229"/>
      <c r="D85" s="206"/>
    </row>
    <row r="86" spans="1:4" ht="12.75" hidden="1">
      <c r="A86" s="228"/>
      <c r="B86" s="204" t="s">
        <v>353</v>
      </c>
      <c r="C86" s="229"/>
      <c r="D86" s="206"/>
    </row>
    <row r="87" spans="1:4" ht="12.75">
      <c r="A87" s="230"/>
      <c r="B87" s="204" t="s">
        <v>135</v>
      </c>
      <c r="C87" s="229"/>
      <c r="D87" s="206">
        <v>2000</v>
      </c>
    </row>
    <row r="88" spans="1:4" ht="12.75">
      <c r="A88" s="228"/>
      <c r="B88" s="204" t="s">
        <v>297</v>
      </c>
      <c r="C88" s="229"/>
      <c r="D88" s="206">
        <v>3000</v>
      </c>
    </row>
    <row r="89" spans="1:4" ht="12.75">
      <c r="A89" s="228"/>
      <c r="B89" s="215" t="s">
        <v>293</v>
      </c>
      <c r="C89" s="229"/>
      <c r="D89" s="206">
        <v>21000</v>
      </c>
    </row>
    <row r="90" spans="1:4" ht="12.75">
      <c r="A90" s="228"/>
      <c r="B90" s="204" t="s">
        <v>238</v>
      </c>
      <c r="C90" s="229"/>
      <c r="D90" s="206">
        <f>2200+2000+2500</f>
        <v>6700</v>
      </c>
    </row>
    <row r="91" spans="1:4" ht="12.75">
      <c r="A91" s="228"/>
      <c r="B91" s="204" t="s">
        <v>354</v>
      </c>
      <c r="C91" s="229"/>
      <c r="D91" s="206">
        <v>221.01</v>
      </c>
    </row>
    <row r="92" spans="1:4" ht="12.75">
      <c r="A92" s="228"/>
      <c r="B92" s="204" t="s">
        <v>315</v>
      </c>
      <c r="C92" s="229"/>
      <c r="D92" s="206">
        <f>1500+1500</f>
        <v>3000</v>
      </c>
    </row>
    <row r="93" spans="1:4" ht="12.75">
      <c r="A93" s="228"/>
      <c r="B93" s="204" t="s">
        <v>391</v>
      </c>
      <c r="C93" s="229"/>
      <c r="D93" s="206">
        <v>2250</v>
      </c>
    </row>
    <row r="94" spans="1:4" ht="12.75">
      <c r="A94" s="228"/>
      <c r="B94" s="232" t="s">
        <v>355</v>
      </c>
      <c r="C94" s="229"/>
      <c r="D94" s="206">
        <v>3800</v>
      </c>
    </row>
    <row r="95" spans="1:4" ht="12.75" hidden="1">
      <c r="A95" s="231"/>
      <c r="B95" s="232"/>
      <c r="C95" s="233"/>
      <c r="D95" s="220"/>
    </row>
    <row r="96" spans="1:4" ht="12.75">
      <c r="A96" s="200" t="s">
        <v>356</v>
      </c>
      <c r="B96" s="201" t="s">
        <v>43</v>
      </c>
      <c r="C96" s="200">
        <v>833</v>
      </c>
      <c r="D96" s="202">
        <f>SUM(D97:D104)</f>
        <v>41971.01</v>
      </c>
    </row>
    <row r="97" spans="1:4" ht="22.5" hidden="1">
      <c r="A97" s="208"/>
      <c r="B97" s="234" t="s">
        <v>357</v>
      </c>
      <c r="C97" s="208"/>
      <c r="D97" s="226"/>
    </row>
    <row r="98" spans="1:4" ht="12.75">
      <c r="A98" s="229"/>
      <c r="B98" s="209" t="s">
        <v>392</v>
      </c>
      <c r="C98" s="229"/>
      <c r="D98" s="206">
        <v>9000</v>
      </c>
    </row>
    <row r="99" spans="1:4" ht="12.75">
      <c r="A99" s="229"/>
      <c r="B99" s="204" t="s">
        <v>252</v>
      </c>
      <c r="C99" s="229"/>
      <c r="D99" s="206">
        <v>1000</v>
      </c>
    </row>
    <row r="100" spans="1:4" ht="12.75">
      <c r="A100" s="229"/>
      <c r="B100" s="204" t="s">
        <v>393</v>
      </c>
      <c r="C100" s="229"/>
      <c r="D100" s="206">
        <v>9000</v>
      </c>
    </row>
    <row r="101" spans="1:4" ht="12.75">
      <c r="A101" s="229"/>
      <c r="B101" s="204" t="s">
        <v>214</v>
      </c>
      <c r="C101" s="229"/>
      <c r="D101" s="206">
        <v>6771.01</v>
      </c>
    </row>
    <row r="102" spans="1:4" ht="12.75">
      <c r="A102" s="229"/>
      <c r="B102" s="204" t="s">
        <v>394</v>
      </c>
      <c r="C102" s="229"/>
      <c r="D102" s="206">
        <v>5000</v>
      </c>
    </row>
    <row r="103" spans="1:4" ht="12.75">
      <c r="A103" s="229"/>
      <c r="B103" s="204" t="s">
        <v>358</v>
      </c>
      <c r="C103" s="214"/>
      <c r="D103" s="206">
        <f>3200+5500</f>
        <v>8700</v>
      </c>
    </row>
    <row r="104" spans="1:4" ht="12.75">
      <c r="A104" s="229"/>
      <c r="B104" s="204" t="s">
        <v>395</v>
      </c>
      <c r="C104" s="214"/>
      <c r="D104" s="206">
        <v>2500</v>
      </c>
    </row>
    <row r="105" spans="1:4" ht="12.75">
      <c r="A105" s="200" t="s">
        <v>359</v>
      </c>
      <c r="B105" s="201" t="s">
        <v>49</v>
      </c>
      <c r="C105" s="200">
        <v>324</v>
      </c>
      <c r="D105" s="202">
        <f>SUM(D106:D111)</f>
        <v>21992.809999999998</v>
      </c>
    </row>
    <row r="106" spans="1:4" ht="12.75">
      <c r="A106" s="208"/>
      <c r="B106" s="235" t="s">
        <v>196</v>
      </c>
      <c r="C106" s="236"/>
      <c r="D106" s="237">
        <v>1000</v>
      </c>
    </row>
    <row r="107" spans="1:4" ht="12.75">
      <c r="A107" s="221"/>
      <c r="B107" s="211" t="s">
        <v>396</v>
      </c>
      <c r="C107" s="238"/>
      <c r="D107" s="216">
        <v>2000</v>
      </c>
    </row>
    <row r="108" spans="1:4" ht="12.75">
      <c r="A108" s="221"/>
      <c r="B108" s="209" t="s">
        <v>289</v>
      </c>
      <c r="C108" s="221"/>
      <c r="D108" s="206">
        <v>12000</v>
      </c>
    </row>
    <row r="109" spans="1:4" ht="12.75">
      <c r="A109" s="221"/>
      <c r="B109" s="209" t="s">
        <v>214</v>
      </c>
      <c r="C109" s="221"/>
      <c r="D109" s="206">
        <f>1992.81+2500</f>
        <v>4492.8099999999995</v>
      </c>
    </row>
    <row r="110" spans="1:4" ht="12.75" hidden="1">
      <c r="A110" s="221"/>
      <c r="B110" s="209" t="s">
        <v>360</v>
      </c>
      <c r="C110" s="221"/>
      <c r="D110" s="206"/>
    </row>
    <row r="111" spans="1:4" ht="12.75">
      <c r="A111" s="221"/>
      <c r="B111" s="204" t="s">
        <v>397</v>
      </c>
      <c r="C111" s="221"/>
      <c r="D111" s="206">
        <v>2500</v>
      </c>
    </row>
    <row r="112" spans="1:4" ht="12.75">
      <c r="A112" s="200" t="s">
        <v>361</v>
      </c>
      <c r="B112" s="201" t="s">
        <v>52</v>
      </c>
      <c r="C112" s="200">
        <v>248</v>
      </c>
      <c r="D112" s="202">
        <f>SUM(D113:D119)</f>
        <v>18803.010000000002</v>
      </c>
    </row>
    <row r="113" spans="1:4" ht="12.75" hidden="1">
      <c r="A113" s="229"/>
      <c r="B113" s="204" t="s">
        <v>216</v>
      </c>
      <c r="C113" s="229"/>
      <c r="D113" s="206"/>
    </row>
    <row r="114" spans="1:4" ht="12.75">
      <c r="A114" s="229"/>
      <c r="B114" s="204" t="s">
        <v>141</v>
      </c>
      <c r="C114" s="229"/>
      <c r="D114" s="206">
        <v>1000</v>
      </c>
    </row>
    <row r="115" spans="1:4" ht="12.75">
      <c r="A115" s="228"/>
      <c r="B115" s="204" t="s">
        <v>238</v>
      </c>
      <c r="C115" s="239"/>
      <c r="D115" s="206">
        <f>1500+2500</f>
        <v>4000</v>
      </c>
    </row>
    <row r="116" spans="1:4" ht="22.5">
      <c r="A116" s="228"/>
      <c r="B116" s="204" t="s">
        <v>398</v>
      </c>
      <c r="C116" s="229"/>
      <c r="D116" s="206">
        <f>1700+503.01</f>
        <v>2203.01</v>
      </c>
    </row>
    <row r="117" spans="1:4" ht="12.75" hidden="1">
      <c r="A117" s="228"/>
      <c r="B117" s="204" t="s">
        <v>362</v>
      </c>
      <c r="C117" s="229"/>
      <c r="D117" s="206"/>
    </row>
    <row r="118" spans="1:4" ht="12.75">
      <c r="A118" s="228"/>
      <c r="B118" s="204" t="s">
        <v>215</v>
      </c>
      <c r="C118" s="229"/>
      <c r="D118" s="206">
        <f>6500+3000</f>
        <v>9500</v>
      </c>
    </row>
    <row r="119" spans="1:4" ht="12.75">
      <c r="A119" s="228"/>
      <c r="B119" s="204" t="s">
        <v>322</v>
      </c>
      <c r="C119" s="229"/>
      <c r="D119" s="206">
        <v>2100</v>
      </c>
    </row>
    <row r="120" spans="1:4" ht="12.75">
      <c r="A120" s="200" t="s">
        <v>363</v>
      </c>
      <c r="B120" s="201" t="s">
        <v>55</v>
      </c>
      <c r="C120" s="200">
        <v>571</v>
      </c>
      <c r="D120" s="202">
        <f>SUM(D121:D130)</f>
        <v>32359.65</v>
      </c>
    </row>
    <row r="121" spans="1:4" ht="12.75" hidden="1">
      <c r="A121" s="208"/>
      <c r="B121" s="234"/>
      <c r="C121" s="208"/>
      <c r="D121" s="226"/>
    </row>
    <row r="122" spans="1:4" ht="12.75">
      <c r="A122" s="208"/>
      <c r="B122" s="209" t="s">
        <v>399</v>
      </c>
      <c r="C122" s="208"/>
      <c r="D122" s="206">
        <v>3000</v>
      </c>
    </row>
    <row r="123" spans="1:4" ht="12.75" hidden="1">
      <c r="A123" s="208"/>
      <c r="B123" s="204" t="s">
        <v>364</v>
      </c>
      <c r="C123" s="208"/>
      <c r="D123" s="206"/>
    </row>
    <row r="124" spans="1:4" ht="12.75">
      <c r="A124" s="221"/>
      <c r="B124" s="209" t="s">
        <v>365</v>
      </c>
      <c r="C124" s="221"/>
      <c r="D124" s="206">
        <f>2000+3500</f>
        <v>5500</v>
      </c>
    </row>
    <row r="125" spans="1:4" ht="12.75" hidden="1">
      <c r="A125" s="221"/>
      <c r="B125" s="209" t="s">
        <v>366</v>
      </c>
      <c r="C125" s="221"/>
      <c r="D125" s="206"/>
    </row>
    <row r="126" spans="1:4" ht="12.75">
      <c r="A126" s="221"/>
      <c r="B126" s="209" t="s">
        <v>248</v>
      </c>
      <c r="C126" s="221"/>
      <c r="D126" s="206">
        <v>5500</v>
      </c>
    </row>
    <row r="127" spans="1:4" ht="12.75">
      <c r="A127" s="221"/>
      <c r="B127" s="209" t="s">
        <v>367</v>
      </c>
      <c r="C127" s="221"/>
      <c r="D127" s="206">
        <f>3000+4000+400</f>
        <v>7400</v>
      </c>
    </row>
    <row r="128" spans="1:4" ht="12.75">
      <c r="A128" s="221"/>
      <c r="B128" s="209" t="s">
        <v>269</v>
      </c>
      <c r="C128" s="221"/>
      <c r="D128" s="206">
        <f>5000+3000</f>
        <v>8000</v>
      </c>
    </row>
    <row r="129" spans="1:4" ht="12.75">
      <c r="A129" s="221"/>
      <c r="B129" s="209" t="s">
        <v>400</v>
      </c>
      <c r="C129" s="221"/>
      <c r="D129" s="206">
        <v>2500</v>
      </c>
    </row>
    <row r="130" spans="1:4" ht="12.75">
      <c r="A130" s="221"/>
      <c r="B130" s="209" t="s">
        <v>368</v>
      </c>
      <c r="C130" s="221"/>
      <c r="D130" s="206">
        <v>459.65</v>
      </c>
    </row>
    <row r="131" spans="1:4" ht="12.75">
      <c r="A131" s="200" t="s">
        <v>369</v>
      </c>
      <c r="B131" s="201" t="s">
        <v>58</v>
      </c>
      <c r="C131" s="200">
        <v>333</v>
      </c>
      <c r="D131" s="202">
        <f>SUM(D132:D137)</f>
        <v>22370.55</v>
      </c>
    </row>
    <row r="132" spans="1:4" ht="12.75">
      <c r="A132" s="208"/>
      <c r="B132" s="209" t="s">
        <v>217</v>
      </c>
      <c r="C132" s="208"/>
      <c r="D132" s="206">
        <f>3000+1200</f>
        <v>4200</v>
      </c>
    </row>
    <row r="133" spans="1:4" ht="12.75">
      <c r="A133" s="203"/>
      <c r="B133" s="209" t="s">
        <v>221</v>
      </c>
      <c r="C133" s="221"/>
      <c r="D133" s="206">
        <f>7000+3000</f>
        <v>10000</v>
      </c>
    </row>
    <row r="134" spans="1:4" ht="12.75">
      <c r="A134" s="203"/>
      <c r="B134" s="209" t="s">
        <v>401</v>
      </c>
      <c r="C134" s="221"/>
      <c r="D134" s="206">
        <f>1870.55+3500</f>
        <v>5370.55</v>
      </c>
    </row>
    <row r="135" spans="1:4" ht="13.5" thickBot="1">
      <c r="A135" s="203"/>
      <c r="B135" s="209" t="s">
        <v>402</v>
      </c>
      <c r="C135" s="221"/>
      <c r="D135" s="206">
        <v>2800</v>
      </c>
    </row>
    <row r="136" spans="1:4" ht="12.75" hidden="1">
      <c r="A136" s="203"/>
      <c r="B136" s="209" t="s">
        <v>370</v>
      </c>
      <c r="C136" s="221"/>
      <c r="D136" s="206"/>
    </row>
    <row r="137" spans="1:4" ht="13.5" hidden="1" thickBot="1">
      <c r="A137" s="203"/>
      <c r="B137" s="209" t="s">
        <v>371</v>
      </c>
      <c r="C137" s="221"/>
      <c r="D137" s="206"/>
    </row>
    <row r="138" spans="1:4" ht="13.5" thickBot="1">
      <c r="A138" s="240"/>
      <c r="B138" s="241" t="s">
        <v>372</v>
      </c>
      <c r="C138" s="242">
        <f>C131+C120+C112+C105+C84+C78+C70+C62+C57+C48+C40+C31+C22+C15+C9+C4+C96</f>
        <v>7078</v>
      </c>
      <c r="D138" s="243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Mazur</cp:lastModifiedBy>
  <cp:lastPrinted>2020-11-17T09:10:16Z</cp:lastPrinted>
  <dcterms:created xsi:type="dcterms:W3CDTF">2013-07-09T07:31:36Z</dcterms:created>
  <dcterms:modified xsi:type="dcterms:W3CDTF">2020-11-27T12:57:02Z</dcterms:modified>
  <cp:category/>
  <cp:version/>
  <cp:contentType/>
  <cp:contentStatus/>
</cp:coreProperties>
</file>