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835"/>
  </bookViews>
  <sheets>
    <sheet name="Zał. nr 2" sheetId="2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_xlnm.Print_Titles" localSheetId="0">'Zał. nr 2'!$3:$3</definedName>
    <definedName name="zal.3">#REF!</definedName>
  </definedNames>
  <calcPr calcId="152511"/>
</workbook>
</file>

<file path=xl/calcChain.xml><?xml version="1.0" encoding="utf-8"?>
<calcChain xmlns="http://schemas.openxmlformats.org/spreadsheetml/2006/main">
  <c r="H576" i="2" l="1"/>
  <c r="H578" i="2"/>
  <c r="H575" i="2"/>
  <c r="H354" i="2"/>
  <c r="H298" i="2"/>
  <c r="H287" i="2"/>
  <c r="H288" i="2"/>
  <c r="H289" i="2"/>
  <c r="H291" i="2"/>
  <c r="H292" i="2"/>
  <c r="H293" i="2"/>
  <c r="H295" i="2"/>
  <c r="H283" i="2"/>
  <c r="H198" i="2"/>
  <c r="H196" i="2"/>
  <c r="H170" i="2"/>
  <c r="H171" i="2"/>
  <c r="H172" i="2"/>
  <c r="H173" i="2"/>
  <c r="H174" i="2"/>
  <c r="H175" i="2"/>
  <c r="H176" i="2"/>
  <c r="H177" i="2"/>
  <c r="H179" i="2"/>
  <c r="H180" i="2"/>
  <c r="H182" i="2"/>
  <c r="H641" i="2" l="1"/>
  <c r="H642" i="2"/>
  <c r="H621" i="2"/>
  <c r="H580" i="2"/>
  <c r="H587" i="2"/>
  <c r="H588" i="2"/>
  <c r="H589" i="2"/>
  <c r="H586" i="2"/>
  <c r="H637" i="2"/>
  <c r="H638" i="2"/>
  <c r="H623" i="2"/>
  <c r="H624" i="2"/>
  <c r="H625" i="2"/>
  <c r="H628" i="2"/>
  <c r="H629" i="2"/>
  <c r="H630" i="2"/>
  <c r="H618" i="2"/>
  <c r="H619" i="2"/>
  <c r="H616" i="2"/>
  <c r="H607" i="2"/>
  <c r="H608" i="2"/>
  <c r="H592" i="2"/>
  <c r="H593" i="2"/>
  <c r="H594" i="2"/>
  <c r="H595" i="2"/>
  <c r="H596" i="2"/>
  <c r="H597" i="2"/>
  <c r="H598" i="2"/>
  <c r="H599" i="2"/>
  <c r="H600" i="2"/>
  <c r="H570" i="2"/>
  <c r="H567" i="2"/>
  <c r="H560" i="2"/>
  <c r="H559" i="2"/>
  <c r="H555" i="2"/>
  <c r="H557" i="2"/>
  <c r="H542" i="2"/>
  <c r="H543" i="2"/>
  <c r="H544" i="2"/>
  <c r="H546" i="2"/>
  <c r="H547" i="2"/>
  <c r="H540" i="2"/>
  <c r="H528" i="2"/>
  <c r="H526" i="2"/>
  <c r="H524" i="2"/>
  <c r="H516" i="2"/>
  <c r="H517" i="2"/>
  <c r="H518" i="2"/>
  <c r="H519" i="2"/>
  <c r="H520" i="2"/>
  <c r="H522" i="2"/>
  <c r="H512" i="2"/>
  <c r="H493" i="2"/>
  <c r="H490" i="2" s="1"/>
  <c r="H496" i="2"/>
  <c r="H497" i="2"/>
  <c r="H501" i="2"/>
  <c r="H502" i="2"/>
  <c r="H504" i="2"/>
  <c r="H505" i="2"/>
  <c r="H506" i="2"/>
  <c r="H491" i="2"/>
  <c r="H476" i="2"/>
  <c r="H473" i="2" s="1"/>
  <c r="H480" i="2"/>
  <c r="H483" i="2"/>
  <c r="H484" i="2"/>
  <c r="H485" i="2"/>
  <c r="H487" i="2"/>
  <c r="H488" i="2"/>
  <c r="H489" i="2"/>
  <c r="H474" i="2"/>
  <c r="H471" i="2"/>
  <c r="H468" i="2"/>
  <c r="H455" i="2"/>
  <c r="H461" i="2"/>
  <c r="H462" i="2"/>
  <c r="H463" i="2"/>
  <c r="H464" i="2"/>
  <c r="H466" i="2"/>
  <c r="H456" i="2"/>
  <c r="H446" i="2"/>
  <c r="H447" i="2"/>
  <c r="H448" i="2"/>
  <c r="H449" i="2"/>
  <c r="H445" i="2"/>
  <c r="H441" i="2"/>
  <c r="H439" i="2"/>
  <c r="H419" i="2"/>
  <c r="H420" i="2"/>
  <c r="H421" i="2"/>
  <c r="H424" i="2"/>
  <c r="H425" i="2"/>
  <c r="H426" i="2"/>
  <c r="H427" i="2"/>
  <c r="H428" i="2"/>
  <c r="H429" i="2"/>
  <c r="H430" i="2"/>
  <c r="H431" i="2"/>
  <c r="H433" i="2"/>
  <c r="H434" i="2"/>
  <c r="H416" i="2"/>
  <c r="H413" i="2"/>
  <c r="H411" i="2"/>
  <c r="H410" i="2"/>
  <c r="H408" i="2"/>
  <c r="H407" i="2"/>
  <c r="H405" i="2"/>
  <c r="H404" i="2"/>
  <c r="H388" i="2"/>
  <c r="H389" i="2"/>
  <c r="H391" i="2"/>
  <c r="H396" i="2"/>
  <c r="H398" i="2"/>
  <c r="H399" i="2"/>
  <c r="H385" i="2"/>
  <c r="H377" i="2"/>
  <c r="H378" i="2"/>
  <c r="H379" i="2"/>
  <c r="H380" i="2"/>
  <c r="H376" i="2"/>
  <c r="H363" i="2"/>
  <c r="H364" i="2"/>
  <c r="H365" i="2"/>
  <c r="H367" i="2"/>
  <c r="H369" i="2"/>
  <c r="H370" i="2"/>
  <c r="H371" i="2"/>
  <c r="H372" i="2"/>
  <c r="H373" i="2"/>
  <c r="H362" i="2"/>
  <c r="H635" i="2"/>
  <c r="E253" i="2"/>
  <c r="E238" i="2"/>
  <c r="E213" i="2"/>
  <c r="E210" i="2"/>
  <c r="E201" i="2"/>
  <c r="E195" i="2"/>
  <c r="E189" i="2"/>
  <c r="E183" i="2"/>
  <c r="E168" i="2"/>
  <c r="E165" i="2"/>
  <c r="E163" i="2"/>
  <c r="E153" i="2"/>
  <c r="E149" i="2"/>
  <c r="E142" i="2"/>
  <c r="F123" i="2"/>
  <c r="E123" i="2"/>
  <c r="E117" i="2"/>
  <c r="E112" i="2"/>
  <c r="E87" i="2"/>
  <c r="E80" i="2"/>
  <c r="E73" i="2"/>
  <c r="E67" i="2"/>
  <c r="E64" i="2"/>
  <c r="E50" i="2"/>
  <c r="E48" i="2"/>
  <c r="E47" i="2"/>
  <c r="E43" i="2"/>
  <c r="E42" i="2"/>
  <c r="E36" i="2"/>
  <c r="E34" i="2"/>
  <c r="E32" i="2"/>
  <c r="E28" i="2"/>
  <c r="E20" i="2"/>
  <c r="E11" i="2"/>
  <c r="E9" i="2"/>
  <c r="E5" i="2"/>
  <c r="I621" i="2"/>
  <c r="I620" i="2"/>
  <c r="I615" i="2"/>
  <c r="F621" i="2"/>
  <c r="E621" i="2"/>
  <c r="H615" i="2"/>
  <c r="F615" i="2"/>
  <c r="E615" i="2"/>
  <c r="I602" i="2"/>
  <c r="H602" i="2"/>
  <c r="F602" i="2"/>
  <c r="E602" i="2"/>
  <c r="I590" i="2"/>
  <c r="H590" i="2"/>
  <c r="I585" i="2"/>
  <c r="H585" i="2"/>
  <c r="F585" i="2"/>
  <c r="E585" i="2"/>
  <c r="I579" i="2"/>
  <c r="H579" i="2"/>
  <c r="H538" i="2"/>
  <c r="H531" i="2"/>
  <c r="I490" i="2"/>
  <c r="F490" i="2"/>
  <c r="E490" i="2"/>
  <c r="I473" i="2"/>
  <c r="I455" i="2"/>
  <c r="F455" i="2"/>
  <c r="E455" i="2"/>
  <c r="I384" i="2"/>
  <c r="H384" i="2"/>
  <c r="F384" i="2"/>
  <c r="E384" i="2"/>
  <c r="I374" i="2"/>
  <c r="H374" i="2"/>
  <c r="F374" i="2"/>
  <c r="E374" i="2"/>
  <c r="H327" i="2"/>
  <c r="F327" i="2"/>
  <c r="E327" i="2"/>
  <c r="H296" i="2"/>
  <c r="F296" i="2"/>
  <c r="E296" i="2"/>
  <c r="I282" i="2"/>
  <c r="H282" i="2"/>
  <c r="F282" i="2"/>
  <c r="E282" i="2"/>
  <c r="I253" i="2"/>
  <c r="H253" i="2"/>
  <c r="F253" i="2"/>
  <c r="H213" i="2"/>
  <c r="I213" i="2"/>
  <c r="I195" i="2"/>
  <c r="H195" i="2"/>
  <c r="F195" i="2"/>
  <c r="I189" i="2"/>
  <c r="H189" i="2"/>
  <c r="F189" i="2"/>
  <c r="I168" i="2"/>
  <c r="H168" i="2"/>
  <c r="F168" i="2"/>
  <c r="F163" i="2"/>
  <c r="F142" i="2"/>
  <c r="H142" i="2"/>
  <c r="I142" i="2"/>
  <c r="H123" i="2"/>
  <c r="I123" i="2"/>
  <c r="I87" i="2"/>
  <c r="F87" i="2"/>
  <c r="H73" i="2"/>
  <c r="F73" i="2"/>
  <c r="I50" i="2"/>
  <c r="H50" i="2"/>
  <c r="F50" i="2"/>
  <c r="I43" i="2"/>
  <c r="F43" i="2"/>
  <c r="I36" i="2"/>
  <c r="F36" i="2"/>
  <c r="H620" i="2" l="1"/>
  <c r="I444" i="2"/>
  <c r="I406" i="2"/>
  <c r="F590" i="2"/>
  <c r="F473" i="2"/>
  <c r="E473" i="2"/>
  <c r="I415" i="2"/>
  <c r="H415" i="2"/>
  <c r="F415" i="2"/>
  <c r="E415" i="2"/>
  <c r="J356" i="2"/>
  <c r="H309" i="2"/>
  <c r="F309" i="2"/>
  <c r="E309" i="2"/>
  <c r="I238" i="2"/>
  <c r="H238" i="2"/>
  <c r="F238" i="2"/>
  <c r="F213" i="2"/>
  <c r="H120" i="2"/>
  <c r="H96" i="2"/>
  <c r="I67" i="2"/>
  <c r="H67" i="2"/>
  <c r="F67" i="2"/>
  <c r="J384" i="2" l="1"/>
  <c r="H110" i="2" l="1"/>
  <c r="H109" i="2"/>
  <c r="H108" i="2"/>
  <c r="H107" i="2"/>
  <c r="H104" i="2"/>
  <c r="H103" i="2"/>
  <c r="H102" i="2"/>
  <c r="H97" i="2"/>
  <c r="H93" i="2"/>
  <c r="H87" i="2" l="1"/>
  <c r="F444" i="2"/>
  <c r="E444" i="2"/>
  <c r="F354" i="2"/>
  <c r="E354" i="2"/>
  <c r="F20" i="2"/>
  <c r="G622" i="2"/>
  <c r="G608" i="2"/>
  <c r="F531" i="2"/>
  <c r="E531" i="2"/>
  <c r="G532" i="2"/>
  <c r="F527" i="2"/>
  <c r="E527" i="2"/>
  <c r="G529" i="2"/>
  <c r="G528" i="2"/>
  <c r="J393" i="2"/>
  <c r="G387" i="2"/>
  <c r="G378" i="2"/>
  <c r="J378" i="2"/>
  <c r="G377" i="2"/>
  <c r="J377" i="2"/>
  <c r="G376" i="2"/>
  <c r="J376" i="2"/>
  <c r="G356" i="2"/>
  <c r="G321" i="2"/>
  <c r="G312" i="2"/>
  <c r="G307" i="2"/>
  <c r="G223" i="2"/>
  <c r="J223" i="2"/>
  <c r="G222" i="2"/>
  <c r="J222" i="2"/>
  <c r="I163" i="2"/>
  <c r="H163" i="2"/>
  <c r="G164" i="2"/>
  <c r="G163" i="2" s="1"/>
  <c r="G146" i="2"/>
  <c r="J146" i="2"/>
  <c r="G145" i="2"/>
  <c r="J145" i="2"/>
  <c r="F112" i="2"/>
  <c r="G108" i="2"/>
  <c r="J108" i="2"/>
  <c r="H43" i="2"/>
  <c r="H36" i="2"/>
  <c r="H26" i="2"/>
  <c r="G25" i="2"/>
  <c r="J25" i="2"/>
  <c r="G531" i="2" l="1"/>
  <c r="J502" i="2" l="1"/>
  <c r="I11" i="2"/>
  <c r="H11" i="2"/>
  <c r="F11" i="2"/>
  <c r="U18" i="2"/>
  <c r="L18" i="2"/>
  <c r="U8" i="2"/>
  <c r="U7" i="2" s="1"/>
  <c r="L8" i="2"/>
  <c r="L7" i="2" s="1"/>
  <c r="AF7" i="2"/>
  <c r="AE7" i="2"/>
  <c r="AD7" i="2"/>
  <c r="AC7" i="2"/>
  <c r="AB7" i="2"/>
  <c r="AA7" i="2"/>
  <c r="Z7" i="2"/>
  <c r="Y7" i="2"/>
  <c r="X7" i="2"/>
  <c r="W7" i="2"/>
  <c r="V7" i="2"/>
  <c r="T7" i="2"/>
  <c r="S7" i="2"/>
  <c r="R7" i="2"/>
  <c r="Q7" i="2"/>
  <c r="P7" i="2"/>
  <c r="N7" i="2"/>
  <c r="M7" i="2"/>
  <c r="I467" i="2"/>
  <c r="H467" i="2"/>
  <c r="F467" i="2"/>
  <c r="E467" i="2"/>
  <c r="J559" i="2"/>
  <c r="F558" i="2"/>
  <c r="I558" i="2"/>
  <c r="H558" i="2"/>
  <c r="E558" i="2"/>
  <c r="F538" i="2"/>
  <c r="E538" i="2"/>
  <c r="I531" i="2"/>
  <c r="F579" i="2"/>
  <c r="E579" i="2"/>
  <c r="E590" i="2"/>
  <c r="G607" i="2"/>
  <c r="F605" i="2"/>
  <c r="E605" i="2"/>
  <c r="H605" i="2"/>
  <c r="F574" i="2"/>
  <c r="E574" i="2"/>
  <c r="H574" i="2"/>
  <c r="F569" i="2"/>
  <c r="E569" i="2"/>
  <c r="H569" i="2"/>
  <c r="H550" i="2"/>
  <c r="F550" i="2"/>
  <c r="E550" i="2"/>
  <c r="J469" i="2"/>
  <c r="I80" i="2"/>
  <c r="F80" i="2"/>
  <c r="J531" i="2" l="1"/>
  <c r="K18" i="2"/>
  <c r="K8" i="2"/>
  <c r="K7" i="2" s="1"/>
  <c r="N36" i="2" l="1"/>
  <c r="L71" i="2" l="1"/>
  <c r="K71" i="2" s="1"/>
  <c r="L332" i="2"/>
  <c r="K332" i="2" s="1"/>
  <c r="L333" i="2"/>
  <c r="K333" i="2" s="1"/>
  <c r="L398" i="2"/>
  <c r="K398" i="2" s="1"/>
  <c r="L469" i="2"/>
  <c r="L485" i="2"/>
  <c r="K485" i="2" s="1"/>
  <c r="L502" i="2"/>
  <c r="K502" i="2" s="1"/>
  <c r="L551" i="2"/>
  <c r="K551" i="2" s="1"/>
  <c r="I551" i="2" s="1"/>
  <c r="I550" i="2" s="1"/>
  <c r="L559" i="2"/>
  <c r="K559" i="2" s="1"/>
  <c r="L570" i="2"/>
  <c r="K570" i="2" s="1"/>
  <c r="L578" i="2"/>
  <c r="K578" i="2" s="1"/>
  <c r="L583" i="2"/>
  <c r="K583" i="2" s="1"/>
  <c r="L592" i="2"/>
  <c r="L593" i="2"/>
  <c r="L604" i="2"/>
  <c r="K604" i="2" s="1"/>
  <c r="L608" i="2"/>
  <c r="K608" i="2" s="1"/>
  <c r="M43" i="2"/>
  <c r="M558" i="2"/>
  <c r="O635" i="2"/>
  <c r="O579" i="2"/>
  <c r="O574" i="2"/>
  <c r="O117" i="2"/>
  <c r="O643" i="2" l="1"/>
  <c r="T490" i="2"/>
  <c r="S602" i="2" l="1"/>
  <c r="S569" i="2"/>
  <c r="M538" i="2" l="1"/>
  <c r="L547" i="2"/>
  <c r="K547" i="2" s="1"/>
  <c r="M574" i="2"/>
  <c r="N605" i="2"/>
  <c r="N550" i="2"/>
  <c r="N67" i="2"/>
  <c r="L393" i="2" l="1"/>
  <c r="K393" i="2" s="1"/>
  <c r="AF384" i="2" l="1"/>
  <c r="P85" i="2"/>
  <c r="P83" i="2"/>
  <c r="J83" i="2"/>
  <c r="J84" i="2"/>
  <c r="J85" i="2"/>
  <c r="J86" i="2"/>
  <c r="G583" i="2"/>
  <c r="G560" i="2"/>
  <c r="G536" i="2"/>
  <c r="G535" i="2"/>
  <c r="G502" i="2"/>
  <c r="G485" i="2"/>
  <c r="G397" i="2"/>
  <c r="G396" i="2"/>
  <c r="G395" i="2"/>
  <c r="G393" i="2"/>
  <c r="G246" i="2"/>
  <c r="L202" i="2" l="1"/>
  <c r="K202" i="2" s="1"/>
  <c r="Q201" i="2"/>
  <c r="H201" i="2"/>
  <c r="F201" i="2"/>
  <c r="L395" i="2" l="1"/>
  <c r="K395" i="2" s="1"/>
  <c r="L396" i="2"/>
  <c r="K396" i="2" s="1"/>
  <c r="L397" i="2"/>
  <c r="K397" i="2" s="1"/>
  <c r="L385" i="2"/>
  <c r="K385" i="2" s="1"/>
  <c r="Q384" i="2"/>
  <c r="T527" i="2"/>
  <c r="G384" i="2" l="1"/>
  <c r="L527" i="2" l="1"/>
  <c r="H527" i="2"/>
  <c r="L529" i="2"/>
  <c r="I527" i="2" l="1"/>
  <c r="K529" i="2"/>
  <c r="K527" i="2" s="1"/>
  <c r="P531" i="2" l="1"/>
  <c r="Q531" i="2"/>
  <c r="R531" i="2"/>
  <c r="S531" i="2"/>
  <c r="T531" i="2"/>
  <c r="V531" i="2"/>
  <c r="W531" i="2"/>
  <c r="X531" i="2"/>
  <c r="Y531" i="2"/>
  <c r="Z531" i="2"/>
  <c r="AA531" i="2"/>
  <c r="AB531" i="2"/>
  <c r="AC531" i="2"/>
  <c r="AD531" i="2"/>
  <c r="AE531" i="2"/>
  <c r="AF531" i="2"/>
  <c r="M531" i="2"/>
  <c r="N531" i="2"/>
  <c r="L535" i="2"/>
  <c r="K535" i="2" s="1"/>
  <c r="L607" i="2" l="1"/>
  <c r="L576" i="2"/>
  <c r="L577" i="2"/>
  <c r="J607" i="2" l="1"/>
  <c r="K607" i="2"/>
  <c r="K577" i="2"/>
  <c r="K576" i="2"/>
  <c r="L387" i="2" l="1"/>
  <c r="K387" i="2" s="1"/>
  <c r="M384" i="2"/>
  <c r="N384" i="2"/>
  <c r="P384" i="2"/>
  <c r="R384" i="2"/>
  <c r="S384" i="2"/>
  <c r="T384" i="2"/>
  <c r="V384" i="2"/>
  <c r="W384" i="2"/>
  <c r="X384" i="2"/>
  <c r="Y384" i="2"/>
  <c r="Z384" i="2"/>
  <c r="AA384" i="2"/>
  <c r="AB384" i="2"/>
  <c r="AC384" i="2"/>
  <c r="AD384" i="2"/>
  <c r="AE384" i="2"/>
  <c r="N574" i="2" l="1"/>
  <c r="P574" i="2"/>
  <c r="Q574" i="2"/>
  <c r="R574" i="2"/>
  <c r="S574" i="2"/>
  <c r="T574" i="2"/>
  <c r="V574" i="2"/>
  <c r="W574" i="2"/>
  <c r="X574" i="2"/>
  <c r="Y574" i="2"/>
  <c r="Z574" i="2"/>
  <c r="AA574" i="2"/>
  <c r="AB574" i="2"/>
  <c r="AC574" i="2"/>
  <c r="AD574" i="2"/>
  <c r="AE574" i="2"/>
  <c r="AF574" i="2"/>
  <c r="U575" i="2"/>
  <c r="U574" i="2" s="1"/>
  <c r="L575" i="2"/>
  <c r="G574" i="2"/>
  <c r="L188" i="2"/>
  <c r="K188" i="2" s="1"/>
  <c r="F183" i="2"/>
  <c r="H183" i="2"/>
  <c r="M183" i="2"/>
  <c r="N183" i="2"/>
  <c r="P183" i="2"/>
  <c r="Q183" i="2"/>
  <c r="R183" i="2"/>
  <c r="S183" i="2"/>
  <c r="T183" i="2"/>
  <c r="V183" i="2"/>
  <c r="W183" i="2"/>
  <c r="X183" i="2"/>
  <c r="Y183" i="2"/>
  <c r="Z183" i="2"/>
  <c r="AA183" i="2"/>
  <c r="AB183" i="2"/>
  <c r="AC183" i="2"/>
  <c r="AD183" i="2"/>
  <c r="AE183" i="2"/>
  <c r="AF183" i="2"/>
  <c r="M168" i="2"/>
  <c r="N168" i="2"/>
  <c r="P168" i="2"/>
  <c r="Q168" i="2"/>
  <c r="R168" i="2"/>
  <c r="S168" i="2"/>
  <c r="T168" i="2"/>
  <c r="V168" i="2"/>
  <c r="W168" i="2"/>
  <c r="X168" i="2"/>
  <c r="Y168" i="2"/>
  <c r="Z168" i="2"/>
  <c r="AA168" i="2"/>
  <c r="AB168" i="2"/>
  <c r="AC168" i="2"/>
  <c r="AD168" i="2"/>
  <c r="AE168" i="2"/>
  <c r="AF168" i="2"/>
  <c r="L178" i="2"/>
  <c r="K178" i="2" s="1"/>
  <c r="P81" i="2"/>
  <c r="K575" i="2" l="1"/>
  <c r="K574" i="2" s="1"/>
  <c r="L574" i="2"/>
  <c r="G168" i="2"/>
  <c r="G183" i="2"/>
  <c r="I574" i="2"/>
  <c r="J574" i="2" l="1"/>
  <c r="M605" i="2"/>
  <c r="P605" i="2"/>
  <c r="Q605" i="2"/>
  <c r="R605" i="2"/>
  <c r="S605" i="2"/>
  <c r="T605" i="2"/>
  <c r="V605" i="2"/>
  <c r="W605" i="2"/>
  <c r="X605" i="2"/>
  <c r="Y605" i="2"/>
  <c r="Z605" i="2"/>
  <c r="AA605" i="2"/>
  <c r="AB605" i="2"/>
  <c r="AC605" i="2"/>
  <c r="AD605" i="2"/>
  <c r="AE605" i="2"/>
  <c r="AF605" i="2"/>
  <c r="G605" i="2" l="1"/>
  <c r="M579" i="2" l="1"/>
  <c r="N579" i="2"/>
  <c r="P579" i="2"/>
  <c r="Q579" i="2"/>
  <c r="R579" i="2"/>
  <c r="S579" i="2"/>
  <c r="T579" i="2"/>
  <c r="V579" i="2"/>
  <c r="W579" i="2"/>
  <c r="X579" i="2"/>
  <c r="Y579" i="2"/>
  <c r="Z579" i="2"/>
  <c r="AA579" i="2"/>
  <c r="AB579" i="2"/>
  <c r="AC579" i="2"/>
  <c r="AD579" i="2"/>
  <c r="AE579" i="2"/>
  <c r="AF579" i="2"/>
  <c r="G579" i="2" l="1"/>
  <c r="M621" i="2"/>
  <c r="N621" i="2"/>
  <c r="P621" i="2"/>
  <c r="Q621" i="2"/>
  <c r="R621" i="2"/>
  <c r="S621" i="2"/>
  <c r="T621" i="2"/>
  <c r="V621" i="2"/>
  <c r="W621" i="2"/>
  <c r="X621" i="2"/>
  <c r="Y621" i="2"/>
  <c r="Z621" i="2"/>
  <c r="AA621" i="2"/>
  <c r="AB621" i="2"/>
  <c r="AC621" i="2"/>
  <c r="AD621" i="2"/>
  <c r="AE621" i="2"/>
  <c r="AF621" i="2"/>
  <c r="G621" i="2" l="1"/>
  <c r="L125" i="2" l="1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24" i="2"/>
  <c r="L637" i="2" l="1"/>
  <c r="L638" i="2"/>
  <c r="L639" i="2"/>
  <c r="L640" i="2"/>
  <c r="L641" i="2"/>
  <c r="L642" i="2"/>
  <c r="L636" i="2"/>
  <c r="L625" i="2"/>
  <c r="L626" i="2"/>
  <c r="L627" i="2"/>
  <c r="L628" i="2"/>
  <c r="L629" i="2"/>
  <c r="L630" i="2"/>
  <c r="L631" i="2"/>
  <c r="L632" i="2"/>
  <c r="L633" i="2"/>
  <c r="L634" i="2"/>
  <c r="L624" i="2"/>
  <c r="L614" i="2"/>
  <c r="L617" i="2"/>
  <c r="L619" i="2"/>
  <c r="L613" i="2"/>
  <c r="L609" i="2"/>
  <c r="L610" i="2"/>
  <c r="L611" i="2"/>
  <c r="L606" i="2"/>
  <c r="L603" i="2"/>
  <c r="L594" i="2"/>
  <c r="L595" i="2"/>
  <c r="L596" i="2"/>
  <c r="L597" i="2"/>
  <c r="L599" i="2"/>
  <c r="L600" i="2"/>
  <c r="L601" i="2"/>
  <c r="L591" i="2"/>
  <c r="L587" i="2"/>
  <c r="L588" i="2"/>
  <c r="L589" i="2"/>
  <c r="L586" i="2"/>
  <c r="L580" i="2"/>
  <c r="L581" i="2"/>
  <c r="L582" i="2"/>
  <c r="L572" i="2"/>
  <c r="L573" i="2"/>
  <c r="L571" i="2"/>
  <c r="L563" i="2"/>
  <c r="L564" i="2"/>
  <c r="L565" i="2"/>
  <c r="L566" i="2"/>
  <c r="L567" i="2"/>
  <c r="L568" i="2"/>
  <c r="L562" i="2"/>
  <c r="L560" i="2"/>
  <c r="L555" i="2"/>
  <c r="L556" i="2"/>
  <c r="L557" i="2"/>
  <c r="L554" i="2"/>
  <c r="L552" i="2"/>
  <c r="L540" i="2"/>
  <c r="L541" i="2"/>
  <c r="L542" i="2"/>
  <c r="L543" i="2"/>
  <c r="L544" i="2"/>
  <c r="L545" i="2"/>
  <c r="L546" i="2"/>
  <c r="L548" i="2"/>
  <c r="L549" i="2"/>
  <c r="L539" i="2"/>
  <c r="L534" i="2"/>
  <c r="L536" i="2"/>
  <c r="L537" i="2"/>
  <c r="L533" i="2"/>
  <c r="L526" i="2"/>
  <c r="L524" i="2"/>
  <c r="L513" i="2"/>
  <c r="L514" i="2"/>
  <c r="L515" i="2"/>
  <c r="L516" i="2"/>
  <c r="L517" i="2"/>
  <c r="L518" i="2"/>
  <c r="L519" i="2"/>
  <c r="L520" i="2"/>
  <c r="L521" i="2"/>
  <c r="L522" i="2"/>
  <c r="L512" i="2"/>
  <c r="L509" i="2"/>
  <c r="L510" i="2"/>
  <c r="L508" i="2"/>
  <c r="L492" i="2"/>
  <c r="L493" i="2"/>
  <c r="L494" i="2"/>
  <c r="L495" i="2"/>
  <c r="L496" i="2"/>
  <c r="L497" i="2"/>
  <c r="L498" i="2"/>
  <c r="L499" i="2"/>
  <c r="L500" i="2"/>
  <c r="L501" i="2"/>
  <c r="L503" i="2"/>
  <c r="L504" i="2"/>
  <c r="L505" i="2"/>
  <c r="L491" i="2"/>
  <c r="L475" i="2"/>
  <c r="L476" i="2"/>
  <c r="L477" i="2"/>
  <c r="L478" i="2"/>
  <c r="L479" i="2"/>
  <c r="L480" i="2"/>
  <c r="L481" i="2"/>
  <c r="L482" i="2"/>
  <c r="L483" i="2"/>
  <c r="L484" i="2"/>
  <c r="L486" i="2"/>
  <c r="L487" i="2"/>
  <c r="L488" i="2"/>
  <c r="L474" i="2"/>
  <c r="L471" i="2"/>
  <c r="L468" i="2"/>
  <c r="L457" i="2"/>
  <c r="L458" i="2"/>
  <c r="L459" i="2"/>
  <c r="L460" i="2"/>
  <c r="L461" i="2"/>
  <c r="L462" i="2"/>
  <c r="L463" i="2"/>
  <c r="L464" i="2"/>
  <c r="L465" i="2"/>
  <c r="L456" i="2"/>
  <c r="L450" i="2"/>
  <c r="L451" i="2"/>
  <c r="L452" i="2"/>
  <c r="L453" i="2"/>
  <c r="L449" i="2"/>
  <c r="L448" i="2"/>
  <c r="L443" i="2"/>
  <c r="L441" i="2"/>
  <c r="L437" i="2"/>
  <c r="L438" i="2"/>
  <c r="L439" i="2"/>
  <c r="L43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16" i="2"/>
  <c r="L414" i="2"/>
  <c r="L413" i="2"/>
  <c r="L411" i="2"/>
  <c r="L410" i="2"/>
  <c r="L408" i="2"/>
  <c r="L405" i="2"/>
  <c r="L404" i="2"/>
  <c r="L402" i="2"/>
  <c r="L401" i="2"/>
  <c r="L388" i="2"/>
  <c r="L389" i="2"/>
  <c r="L390" i="2"/>
  <c r="L391" i="2"/>
  <c r="L392" i="2"/>
  <c r="L394" i="2"/>
  <c r="L386" i="2"/>
  <c r="L383" i="2"/>
  <c r="L379" i="2"/>
  <c r="L380" i="2"/>
  <c r="L375" i="2"/>
  <c r="L363" i="2"/>
  <c r="L364" i="2"/>
  <c r="L365" i="2"/>
  <c r="L366" i="2"/>
  <c r="L367" i="2"/>
  <c r="L368" i="2"/>
  <c r="L369" i="2"/>
  <c r="L370" i="2"/>
  <c r="L371" i="2"/>
  <c r="L372" i="2"/>
  <c r="L373" i="2"/>
  <c r="L362" i="2"/>
  <c r="L359" i="2"/>
  <c r="L360" i="2"/>
  <c r="L344" i="2"/>
  <c r="L345" i="2"/>
  <c r="L346" i="2"/>
  <c r="L347" i="2"/>
  <c r="L348" i="2"/>
  <c r="L349" i="2"/>
  <c r="L350" i="2"/>
  <c r="L351" i="2"/>
  <c r="L355" i="2"/>
  <c r="L358" i="2"/>
  <c r="L325" i="2"/>
  <c r="L326" i="2"/>
  <c r="L328" i="2"/>
  <c r="L329" i="2"/>
  <c r="L330" i="2"/>
  <c r="L331" i="2"/>
  <c r="L334" i="2"/>
  <c r="L335" i="2"/>
  <c r="L336" i="2"/>
  <c r="L337" i="2"/>
  <c r="L338" i="2"/>
  <c r="L339" i="2"/>
  <c r="L340" i="2"/>
  <c r="L341" i="2"/>
  <c r="L342" i="2"/>
  <c r="L343" i="2"/>
  <c r="L324" i="2"/>
  <c r="L311" i="2"/>
  <c r="L312" i="2"/>
  <c r="L313" i="2"/>
  <c r="L314" i="2"/>
  <c r="L315" i="2"/>
  <c r="L316" i="2"/>
  <c r="L317" i="2"/>
  <c r="L318" i="2"/>
  <c r="L319" i="2"/>
  <c r="L320" i="2"/>
  <c r="L321" i="2"/>
  <c r="L310" i="2"/>
  <c r="L298" i="2"/>
  <c r="L299" i="2"/>
  <c r="L300" i="2"/>
  <c r="L301" i="2"/>
  <c r="L302" i="2"/>
  <c r="L303" i="2"/>
  <c r="L304" i="2"/>
  <c r="L305" i="2"/>
  <c r="L306" i="2"/>
  <c r="L307" i="2"/>
  <c r="L297" i="2"/>
  <c r="L284" i="2"/>
  <c r="L285" i="2"/>
  <c r="L286" i="2"/>
  <c r="L287" i="2"/>
  <c r="L288" i="2"/>
  <c r="L289" i="2"/>
  <c r="L290" i="2"/>
  <c r="L291" i="2"/>
  <c r="L292" i="2"/>
  <c r="L293" i="2"/>
  <c r="L294" i="2"/>
  <c r="L283" i="2"/>
  <c r="L281" i="2"/>
  <c r="L280" i="2"/>
  <c r="L278" i="2"/>
  <c r="K278" i="2" s="1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54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39" i="2"/>
  <c r="L215" i="2"/>
  <c r="L216" i="2"/>
  <c r="L217" i="2"/>
  <c r="L218" i="2"/>
  <c r="L219" i="2"/>
  <c r="L220" i="2"/>
  <c r="L221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7" i="2"/>
  <c r="L214" i="2"/>
  <c r="L209" i="2"/>
  <c r="L208" i="2"/>
  <c r="L206" i="2"/>
  <c r="L203" i="2"/>
  <c r="L197" i="2"/>
  <c r="L198" i="2"/>
  <c r="L199" i="2"/>
  <c r="L196" i="2"/>
  <c r="L191" i="2"/>
  <c r="L192" i="2"/>
  <c r="L193" i="2"/>
  <c r="L194" i="2"/>
  <c r="L190" i="2"/>
  <c r="L185" i="2"/>
  <c r="L186" i="2"/>
  <c r="L187" i="2"/>
  <c r="L184" i="2"/>
  <c r="L170" i="2"/>
  <c r="L171" i="2"/>
  <c r="L172" i="2"/>
  <c r="L173" i="2"/>
  <c r="L174" i="2"/>
  <c r="L175" i="2"/>
  <c r="L177" i="2"/>
  <c r="L179" i="2"/>
  <c r="L180" i="2"/>
  <c r="L181" i="2"/>
  <c r="L182" i="2"/>
  <c r="L169" i="2"/>
  <c r="L167" i="2"/>
  <c r="L166" i="2"/>
  <c r="L155" i="2"/>
  <c r="L156" i="2"/>
  <c r="L157" i="2"/>
  <c r="L158" i="2"/>
  <c r="L159" i="2"/>
  <c r="L160" i="2"/>
  <c r="L161" i="2"/>
  <c r="L154" i="2"/>
  <c r="L151" i="2"/>
  <c r="L152" i="2"/>
  <c r="L150" i="2"/>
  <c r="L144" i="2"/>
  <c r="L147" i="2"/>
  <c r="L143" i="2"/>
  <c r="L119" i="2"/>
  <c r="L120" i="2"/>
  <c r="L121" i="2"/>
  <c r="L122" i="2"/>
  <c r="L118" i="2"/>
  <c r="L116" i="2"/>
  <c r="L115" i="2"/>
  <c r="L89" i="2"/>
  <c r="L90" i="2"/>
  <c r="L91" i="2"/>
  <c r="L92" i="2"/>
  <c r="L93" i="2"/>
  <c r="L94" i="2"/>
  <c r="L95" i="2"/>
  <c r="L97" i="2"/>
  <c r="L98" i="2"/>
  <c r="L99" i="2"/>
  <c r="L100" i="2"/>
  <c r="L101" i="2"/>
  <c r="L102" i="2"/>
  <c r="L103" i="2"/>
  <c r="L104" i="2"/>
  <c r="L105" i="2"/>
  <c r="L106" i="2"/>
  <c r="L107" i="2"/>
  <c r="L109" i="2"/>
  <c r="L110" i="2"/>
  <c r="L111" i="2"/>
  <c r="L88" i="2"/>
  <c r="L82" i="2"/>
  <c r="L83" i="2"/>
  <c r="L84" i="2"/>
  <c r="L85" i="2"/>
  <c r="L86" i="2"/>
  <c r="L81" i="2"/>
  <c r="L75" i="2"/>
  <c r="L76" i="2"/>
  <c r="L77" i="2"/>
  <c r="L78" i="2"/>
  <c r="L79" i="2"/>
  <c r="L74" i="2"/>
  <c r="L70" i="2"/>
  <c r="L69" i="2"/>
  <c r="L52" i="2"/>
  <c r="L53" i="2"/>
  <c r="L54" i="2"/>
  <c r="L55" i="2"/>
  <c r="L56" i="2"/>
  <c r="L57" i="2"/>
  <c r="L58" i="2"/>
  <c r="L59" i="2"/>
  <c r="L60" i="2"/>
  <c r="L61" i="2"/>
  <c r="L62" i="2"/>
  <c r="L51" i="2"/>
  <c r="L49" i="2"/>
  <c r="L45" i="2"/>
  <c r="L46" i="2"/>
  <c r="L44" i="2"/>
  <c r="L38" i="2"/>
  <c r="L39" i="2"/>
  <c r="L40" i="2"/>
  <c r="L41" i="2"/>
  <c r="L37" i="2"/>
  <c r="L35" i="2"/>
  <c r="K35" i="2" s="1"/>
  <c r="L33" i="2"/>
  <c r="L30" i="2"/>
  <c r="L31" i="2"/>
  <c r="L29" i="2"/>
  <c r="L22" i="2"/>
  <c r="L23" i="2"/>
  <c r="L24" i="2"/>
  <c r="L26" i="2"/>
  <c r="L21" i="2"/>
  <c r="L13" i="2"/>
  <c r="L14" i="2"/>
  <c r="L15" i="2"/>
  <c r="L16" i="2"/>
  <c r="L17" i="2"/>
  <c r="L12" i="2"/>
  <c r="L10" i="2"/>
  <c r="L6" i="2"/>
  <c r="U6" i="2"/>
  <c r="U10" i="2"/>
  <c r="U13" i="2"/>
  <c r="U14" i="2"/>
  <c r="U15" i="2"/>
  <c r="U16" i="2"/>
  <c r="U17" i="2"/>
  <c r="U12" i="2"/>
  <c r="U22" i="2"/>
  <c r="U23" i="2"/>
  <c r="U24" i="2"/>
  <c r="U26" i="2"/>
  <c r="U21" i="2"/>
  <c r="U30" i="2"/>
  <c r="U31" i="2"/>
  <c r="U29" i="2"/>
  <c r="U33" i="2"/>
  <c r="U38" i="2"/>
  <c r="U39" i="2"/>
  <c r="U40" i="2"/>
  <c r="U41" i="2"/>
  <c r="U37" i="2"/>
  <c r="U45" i="2"/>
  <c r="U46" i="2"/>
  <c r="U44" i="2"/>
  <c r="U49" i="2"/>
  <c r="U52" i="2"/>
  <c r="U53" i="2"/>
  <c r="U54" i="2"/>
  <c r="U55" i="2"/>
  <c r="U56" i="2"/>
  <c r="U57" i="2"/>
  <c r="U58" i="2"/>
  <c r="U59" i="2"/>
  <c r="U60" i="2"/>
  <c r="U61" i="2"/>
  <c r="U62" i="2"/>
  <c r="U51" i="2"/>
  <c r="U66" i="2"/>
  <c r="U65" i="2"/>
  <c r="U70" i="2"/>
  <c r="U69" i="2"/>
  <c r="U75" i="2"/>
  <c r="U76" i="2"/>
  <c r="U77" i="2"/>
  <c r="U78" i="2"/>
  <c r="U79" i="2"/>
  <c r="U74" i="2"/>
  <c r="U82" i="2"/>
  <c r="U83" i="2"/>
  <c r="U84" i="2"/>
  <c r="U85" i="2"/>
  <c r="U86" i="2"/>
  <c r="U81" i="2"/>
  <c r="U89" i="2"/>
  <c r="U90" i="2"/>
  <c r="U91" i="2"/>
  <c r="U92" i="2"/>
  <c r="U93" i="2"/>
  <c r="U94" i="2"/>
  <c r="U95" i="2"/>
  <c r="U97" i="2"/>
  <c r="U98" i="2"/>
  <c r="U99" i="2"/>
  <c r="U100" i="2"/>
  <c r="U101" i="2"/>
  <c r="U102" i="2"/>
  <c r="U103" i="2"/>
  <c r="U104" i="2"/>
  <c r="U105" i="2"/>
  <c r="U106" i="2"/>
  <c r="U107" i="2"/>
  <c r="U109" i="2"/>
  <c r="U110" i="2"/>
  <c r="U111" i="2"/>
  <c r="U88" i="2"/>
  <c r="U116" i="2"/>
  <c r="U115" i="2"/>
  <c r="U119" i="2"/>
  <c r="U120" i="2"/>
  <c r="U121" i="2"/>
  <c r="U122" i="2"/>
  <c r="U118" i="2"/>
  <c r="U125" i="2"/>
  <c r="K125" i="2" s="1"/>
  <c r="U126" i="2"/>
  <c r="K126" i="2" s="1"/>
  <c r="U127" i="2"/>
  <c r="K127" i="2" s="1"/>
  <c r="U128" i="2"/>
  <c r="K128" i="2" s="1"/>
  <c r="U129" i="2"/>
  <c r="K129" i="2" s="1"/>
  <c r="K130" i="2"/>
  <c r="U131" i="2"/>
  <c r="K131" i="2" s="1"/>
  <c r="U132" i="2"/>
  <c r="K132" i="2" s="1"/>
  <c r="U133" i="2"/>
  <c r="K133" i="2" s="1"/>
  <c r="U134" i="2"/>
  <c r="K134" i="2" s="1"/>
  <c r="U135" i="2"/>
  <c r="K135" i="2" s="1"/>
  <c r="U136" i="2"/>
  <c r="K136" i="2" s="1"/>
  <c r="U137" i="2"/>
  <c r="K137" i="2" s="1"/>
  <c r="U138" i="2"/>
  <c r="K138" i="2" s="1"/>
  <c r="U139" i="2"/>
  <c r="K139" i="2" s="1"/>
  <c r="U140" i="2"/>
  <c r="K140" i="2" s="1"/>
  <c r="U124" i="2"/>
  <c r="K124" i="2" s="1"/>
  <c r="U144" i="2"/>
  <c r="U147" i="2"/>
  <c r="U143" i="2"/>
  <c r="U151" i="2"/>
  <c r="U152" i="2"/>
  <c r="U150" i="2"/>
  <c r="U155" i="2"/>
  <c r="U156" i="2"/>
  <c r="U157" i="2"/>
  <c r="U158" i="2"/>
  <c r="U159" i="2"/>
  <c r="U160" i="2"/>
  <c r="U161" i="2"/>
  <c r="U154" i="2"/>
  <c r="U167" i="2"/>
  <c r="U166" i="2"/>
  <c r="U170" i="2"/>
  <c r="U171" i="2"/>
  <c r="U172" i="2"/>
  <c r="U173" i="2"/>
  <c r="U174" i="2"/>
  <c r="U175" i="2"/>
  <c r="U177" i="2"/>
  <c r="U179" i="2"/>
  <c r="U180" i="2"/>
  <c r="U181" i="2"/>
  <c r="U182" i="2"/>
  <c r="U169" i="2"/>
  <c r="U185" i="2"/>
  <c r="U186" i="2"/>
  <c r="U187" i="2"/>
  <c r="U184" i="2"/>
  <c r="U191" i="2"/>
  <c r="U192" i="2"/>
  <c r="U193" i="2"/>
  <c r="U194" i="2"/>
  <c r="U190" i="2"/>
  <c r="U197" i="2"/>
  <c r="U198" i="2"/>
  <c r="U199" i="2"/>
  <c r="U196" i="2"/>
  <c r="U203" i="2"/>
  <c r="U206" i="2"/>
  <c r="U209" i="2"/>
  <c r="U208" i="2"/>
  <c r="U211" i="2"/>
  <c r="K211" i="2" s="1"/>
  <c r="U215" i="2"/>
  <c r="U216" i="2"/>
  <c r="U217" i="2"/>
  <c r="U218" i="2"/>
  <c r="K218" i="2" s="1"/>
  <c r="U219" i="2"/>
  <c r="U220" i="2"/>
  <c r="U221" i="2"/>
  <c r="U224" i="2"/>
  <c r="U225" i="2"/>
  <c r="U226" i="2"/>
  <c r="U227" i="2"/>
  <c r="U228" i="2"/>
  <c r="K228" i="2" s="1"/>
  <c r="U229" i="2"/>
  <c r="U230" i="2"/>
  <c r="U231" i="2"/>
  <c r="U232" i="2"/>
  <c r="K232" i="2" s="1"/>
  <c r="U233" i="2"/>
  <c r="U234" i="2"/>
  <c r="U235" i="2"/>
  <c r="U237" i="2"/>
  <c r="U214" i="2"/>
  <c r="U240" i="2"/>
  <c r="K240" i="2" s="1"/>
  <c r="U241" i="2"/>
  <c r="U242" i="2"/>
  <c r="U243" i="2"/>
  <c r="U244" i="2"/>
  <c r="K244" i="2" s="1"/>
  <c r="U245" i="2"/>
  <c r="U246" i="2"/>
  <c r="U247" i="2"/>
  <c r="U248" i="2"/>
  <c r="U249" i="2"/>
  <c r="U250" i="2"/>
  <c r="U251" i="2"/>
  <c r="U239" i="2"/>
  <c r="K239" i="2" s="1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54" i="2"/>
  <c r="U281" i="2"/>
  <c r="K281" i="2" s="1"/>
  <c r="U280" i="2"/>
  <c r="U284" i="2"/>
  <c r="U285" i="2"/>
  <c r="U286" i="2"/>
  <c r="U287" i="2"/>
  <c r="U288" i="2"/>
  <c r="U289" i="2"/>
  <c r="U290" i="2"/>
  <c r="U291" i="2"/>
  <c r="U292" i="2"/>
  <c r="U293" i="2"/>
  <c r="U294" i="2"/>
  <c r="U283" i="2"/>
  <c r="U298" i="2"/>
  <c r="U299" i="2"/>
  <c r="U300" i="2"/>
  <c r="U301" i="2"/>
  <c r="U302" i="2"/>
  <c r="U303" i="2"/>
  <c r="U304" i="2"/>
  <c r="U305" i="2"/>
  <c r="U306" i="2"/>
  <c r="U307" i="2"/>
  <c r="U297" i="2"/>
  <c r="U311" i="2"/>
  <c r="U312" i="2"/>
  <c r="U313" i="2"/>
  <c r="U314" i="2"/>
  <c r="U315" i="2"/>
  <c r="K315" i="2" s="1"/>
  <c r="U316" i="2"/>
  <c r="U317" i="2"/>
  <c r="U318" i="2"/>
  <c r="U319" i="2"/>
  <c r="U320" i="2"/>
  <c r="U321" i="2"/>
  <c r="U310" i="2"/>
  <c r="U325" i="2"/>
  <c r="U326" i="2"/>
  <c r="U324" i="2"/>
  <c r="U329" i="2"/>
  <c r="U330" i="2"/>
  <c r="U331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28" i="2"/>
  <c r="K261" i="2" l="1"/>
  <c r="K257" i="2"/>
  <c r="K293" i="2"/>
  <c r="K289" i="2"/>
  <c r="K266" i="2"/>
  <c r="K262" i="2"/>
  <c r="K10" i="2"/>
  <c r="K268" i="2"/>
  <c r="K256" i="2"/>
  <c r="K23" i="2"/>
  <c r="K41" i="2"/>
  <c r="K44" i="2"/>
  <c r="K49" i="2"/>
  <c r="K121" i="2"/>
  <c r="K147" i="2"/>
  <c r="K151" i="2"/>
  <c r="K186" i="2"/>
  <c r="K203" i="2"/>
  <c r="K280" i="2"/>
  <c r="L558" i="2"/>
  <c r="K6" i="2"/>
  <c r="K21" i="2"/>
  <c r="K22" i="2"/>
  <c r="K33" i="2"/>
  <c r="K40" i="2"/>
  <c r="K51" i="2"/>
  <c r="K88" i="2"/>
  <c r="K120" i="2"/>
  <c r="K144" i="2"/>
  <c r="K154" i="2"/>
  <c r="K166" i="2"/>
  <c r="K185" i="2"/>
  <c r="K199" i="2"/>
  <c r="K214" i="2"/>
  <c r="K26" i="2"/>
  <c r="K29" i="2"/>
  <c r="K39" i="2"/>
  <c r="K69" i="2"/>
  <c r="K118" i="2"/>
  <c r="K119" i="2"/>
  <c r="K150" i="2"/>
  <c r="K184" i="2"/>
  <c r="K190" i="2"/>
  <c r="K198" i="2"/>
  <c r="K283" i="2"/>
  <c r="K24" i="2"/>
  <c r="K31" i="2"/>
  <c r="K37" i="2"/>
  <c r="K45" i="2"/>
  <c r="K122" i="2"/>
  <c r="I122" i="2" s="1"/>
  <c r="K143" i="2"/>
  <c r="K152" i="2"/>
  <c r="K169" i="2"/>
  <c r="K194" i="2"/>
  <c r="K196" i="2"/>
  <c r="K197" i="2"/>
  <c r="K209" i="2"/>
  <c r="I209" i="2" s="1"/>
  <c r="K254" i="2"/>
  <c r="K297" i="2"/>
  <c r="I297" i="2" s="1"/>
  <c r="I296" i="2" s="1"/>
  <c r="K310" i="2"/>
  <c r="K187" i="2"/>
  <c r="K349" i="2"/>
  <c r="K246" i="2"/>
  <c r="K182" i="2"/>
  <c r="K177" i="2"/>
  <c r="K172" i="2"/>
  <c r="K217" i="2"/>
  <c r="K251" i="2"/>
  <c r="K247" i="2"/>
  <c r="K243" i="2"/>
  <c r="K305" i="2"/>
  <c r="K301" i="2"/>
  <c r="K314" i="2"/>
  <c r="K330" i="2"/>
  <c r="K351" i="2"/>
  <c r="K344" i="2"/>
  <c r="K303" i="2"/>
  <c r="K249" i="2"/>
  <c r="K260" i="2"/>
  <c r="K287" i="2"/>
  <c r="K250" i="2"/>
  <c r="K242" i="2"/>
  <c r="K275" i="2"/>
  <c r="K271" i="2"/>
  <c r="K267" i="2"/>
  <c r="K263" i="2"/>
  <c r="K259" i="2"/>
  <c r="K255" i="2"/>
  <c r="K294" i="2"/>
  <c r="K290" i="2"/>
  <c r="K286" i="2"/>
  <c r="K307" i="2"/>
  <c r="K304" i="2"/>
  <c r="K300" i="2"/>
  <c r="K321" i="2"/>
  <c r="K317" i="2"/>
  <c r="K313" i="2"/>
  <c r="K346" i="2"/>
  <c r="K264" i="2"/>
  <c r="K245" i="2"/>
  <c r="K241" i="2"/>
  <c r="K274" i="2"/>
  <c r="K270" i="2"/>
  <c r="K258" i="2"/>
  <c r="K285" i="2"/>
  <c r="K306" i="2"/>
  <c r="K299" i="2"/>
  <c r="K320" i="2"/>
  <c r="I320" i="2" s="1"/>
  <c r="K316" i="2"/>
  <c r="K312" i="2"/>
  <c r="K338" i="2"/>
  <c r="K272" i="2"/>
  <c r="K291" i="2"/>
  <c r="K318" i="2"/>
  <c r="K248" i="2"/>
  <c r="K273" i="2"/>
  <c r="K269" i="2"/>
  <c r="K265" i="2"/>
  <c r="K292" i="2"/>
  <c r="K284" i="2"/>
  <c r="K302" i="2"/>
  <c r="K298" i="2"/>
  <c r="K319" i="2"/>
  <c r="I319" i="2" s="1"/>
  <c r="K311" i="2"/>
  <c r="K341" i="2"/>
  <c r="K336" i="2"/>
  <c r="K337" i="2"/>
  <c r="K340" i="2"/>
  <c r="K339" i="2"/>
  <c r="K343" i="2"/>
  <c r="K342" i="2"/>
  <c r="K348" i="2"/>
  <c r="K347" i="2"/>
  <c r="K350" i="2"/>
  <c r="K220" i="2"/>
  <c r="K216" i="2"/>
  <c r="K230" i="2"/>
  <c r="K227" i="2"/>
  <c r="K221" i="2"/>
  <c r="K181" i="2"/>
  <c r="K175" i="2"/>
  <c r="K171" i="2"/>
  <c r="K234" i="2"/>
  <c r="K226" i="2"/>
  <c r="K231" i="2"/>
  <c r="K180" i="2"/>
  <c r="K174" i="2"/>
  <c r="K170" i="2"/>
  <c r="K233" i="2"/>
  <c r="K229" i="2"/>
  <c r="K225" i="2"/>
  <c r="K219" i="2"/>
  <c r="K215" i="2"/>
  <c r="K235" i="2"/>
  <c r="K179" i="2"/>
  <c r="K173" i="2"/>
  <c r="K237" i="2"/>
  <c r="K224" i="2"/>
  <c r="K160" i="2"/>
  <c r="K156" i="2"/>
  <c r="K159" i="2"/>
  <c r="K155" i="2"/>
  <c r="K158" i="2"/>
  <c r="K161" i="2"/>
  <c r="K157" i="2"/>
  <c r="K12" i="2"/>
  <c r="K78" i="2"/>
  <c r="K81" i="2"/>
  <c r="K83" i="2"/>
  <c r="K60" i="2"/>
  <c r="K53" i="2"/>
  <c r="K77" i="2"/>
  <c r="K86" i="2"/>
  <c r="K82" i="2"/>
  <c r="K110" i="2"/>
  <c r="K105" i="2"/>
  <c r="K101" i="2"/>
  <c r="K97" i="2"/>
  <c r="K92" i="2"/>
  <c r="K57" i="2"/>
  <c r="K106" i="2"/>
  <c r="K98" i="2"/>
  <c r="K89" i="2"/>
  <c r="K56" i="2"/>
  <c r="K52" i="2"/>
  <c r="K85" i="2"/>
  <c r="K109" i="2"/>
  <c r="K104" i="2"/>
  <c r="K100" i="2"/>
  <c r="K95" i="2"/>
  <c r="K91" i="2"/>
  <c r="K61" i="2"/>
  <c r="K54" i="2"/>
  <c r="K111" i="2"/>
  <c r="K102" i="2"/>
  <c r="K93" i="2"/>
  <c r="K62" i="2"/>
  <c r="K58" i="2"/>
  <c r="K55" i="2"/>
  <c r="K79" i="2"/>
  <c r="K75" i="2"/>
  <c r="K84" i="2"/>
  <c r="K107" i="2"/>
  <c r="K103" i="2"/>
  <c r="K99" i="2"/>
  <c r="K90" i="2"/>
  <c r="K30" i="2"/>
  <c r="L538" i="2"/>
  <c r="K345" i="2"/>
  <c r="K335" i="2"/>
  <c r="I335" i="2" s="1"/>
  <c r="K288" i="2"/>
  <c r="K206" i="2"/>
  <c r="I206" i="2" s="1"/>
  <c r="K208" i="2"/>
  <c r="I208" i="2" s="1"/>
  <c r="K193" i="2"/>
  <c r="K192" i="2"/>
  <c r="K191" i="2"/>
  <c r="K115" i="2"/>
  <c r="K116" i="2"/>
  <c r="K76" i="2"/>
  <c r="K74" i="2"/>
  <c r="I74" i="2" s="1"/>
  <c r="I73" i="2" s="1"/>
  <c r="K46" i="2"/>
  <c r="K16" i="2"/>
  <c r="K334" i="2"/>
  <c r="I334" i="2" s="1"/>
  <c r="K331" i="2"/>
  <c r="K329" i="2"/>
  <c r="K328" i="2"/>
  <c r="L569" i="2"/>
  <c r="L550" i="2"/>
  <c r="L67" i="2"/>
  <c r="K70" i="2"/>
  <c r="K59" i="2"/>
  <c r="L50" i="2"/>
  <c r="L36" i="2"/>
  <c r="K38" i="2"/>
  <c r="K14" i="2"/>
  <c r="K17" i="2"/>
  <c r="K13" i="2"/>
  <c r="K15" i="2"/>
  <c r="L605" i="2"/>
  <c r="L602" i="2"/>
  <c r="L201" i="2"/>
  <c r="L183" i="2"/>
  <c r="L384" i="2"/>
  <c r="L531" i="2"/>
  <c r="U183" i="2"/>
  <c r="K326" i="2"/>
  <c r="K324" i="2"/>
  <c r="I324" i="2" s="1"/>
  <c r="K325" i="2"/>
  <c r="L168" i="2"/>
  <c r="U168" i="2"/>
  <c r="L621" i="2"/>
  <c r="L579" i="2"/>
  <c r="L354" i="2"/>
  <c r="L357" i="2"/>
  <c r="K167" i="2"/>
  <c r="L615" i="2"/>
  <c r="J172" i="2"/>
  <c r="L327" i="2"/>
  <c r="U355" i="2"/>
  <c r="K355" i="2" s="1"/>
  <c r="U359" i="2"/>
  <c r="K359" i="2" s="1"/>
  <c r="U360" i="2"/>
  <c r="K360" i="2" s="1"/>
  <c r="U358" i="2"/>
  <c r="K358" i="2" s="1"/>
  <c r="U363" i="2"/>
  <c r="K363" i="2" s="1"/>
  <c r="U364" i="2"/>
  <c r="K364" i="2" s="1"/>
  <c r="U365" i="2"/>
  <c r="K365" i="2" s="1"/>
  <c r="U366" i="2"/>
  <c r="K366" i="2" s="1"/>
  <c r="U367" i="2"/>
  <c r="K367" i="2" s="1"/>
  <c r="U368" i="2"/>
  <c r="K368" i="2" s="1"/>
  <c r="U369" i="2"/>
  <c r="K369" i="2" s="1"/>
  <c r="U370" i="2"/>
  <c r="K370" i="2" s="1"/>
  <c r="U371" i="2"/>
  <c r="K371" i="2" s="1"/>
  <c r="U372" i="2"/>
  <c r="K372" i="2" s="1"/>
  <c r="U373" i="2"/>
  <c r="K373" i="2" s="1"/>
  <c r="U362" i="2"/>
  <c r="K362" i="2" s="1"/>
  <c r="U379" i="2"/>
  <c r="K379" i="2" s="1"/>
  <c r="U380" i="2"/>
  <c r="K380" i="2" s="1"/>
  <c r="U375" i="2"/>
  <c r="K375" i="2" s="1"/>
  <c r="U383" i="2"/>
  <c r="K383" i="2" s="1"/>
  <c r="U388" i="2"/>
  <c r="K388" i="2" s="1"/>
  <c r="U389" i="2"/>
  <c r="K389" i="2" s="1"/>
  <c r="U390" i="2"/>
  <c r="K390" i="2" s="1"/>
  <c r="U391" i="2"/>
  <c r="K391" i="2" s="1"/>
  <c r="U392" i="2"/>
  <c r="K392" i="2" s="1"/>
  <c r="U394" i="2"/>
  <c r="K394" i="2" s="1"/>
  <c r="U386" i="2"/>
  <c r="K386" i="2" s="1"/>
  <c r="U402" i="2"/>
  <c r="K402" i="2" s="1"/>
  <c r="U401" i="2"/>
  <c r="K401" i="2" s="1"/>
  <c r="U405" i="2"/>
  <c r="K405" i="2" s="1"/>
  <c r="U404" i="2"/>
  <c r="K404" i="2" s="1"/>
  <c r="U408" i="2"/>
  <c r="K408" i="2" s="1"/>
  <c r="U411" i="2"/>
  <c r="K411" i="2" s="1"/>
  <c r="U410" i="2"/>
  <c r="K410" i="2" s="1"/>
  <c r="U414" i="2"/>
  <c r="K414" i="2" s="1"/>
  <c r="U413" i="2"/>
  <c r="K413" i="2" s="1"/>
  <c r="U417" i="2"/>
  <c r="K417" i="2" s="1"/>
  <c r="U418" i="2"/>
  <c r="K418" i="2" s="1"/>
  <c r="U419" i="2"/>
  <c r="K419" i="2" s="1"/>
  <c r="U420" i="2"/>
  <c r="K420" i="2" s="1"/>
  <c r="U421" i="2"/>
  <c r="K421" i="2" s="1"/>
  <c r="U422" i="2"/>
  <c r="K422" i="2" s="1"/>
  <c r="U423" i="2"/>
  <c r="K423" i="2" s="1"/>
  <c r="U424" i="2"/>
  <c r="K424" i="2" s="1"/>
  <c r="U425" i="2"/>
  <c r="K425" i="2" s="1"/>
  <c r="U426" i="2"/>
  <c r="K426" i="2" s="1"/>
  <c r="U427" i="2"/>
  <c r="K427" i="2" s="1"/>
  <c r="U428" i="2"/>
  <c r="K428" i="2" s="1"/>
  <c r="U429" i="2"/>
  <c r="K429" i="2" s="1"/>
  <c r="U430" i="2"/>
  <c r="K430" i="2" s="1"/>
  <c r="U431" i="2"/>
  <c r="K431" i="2" s="1"/>
  <c r="U432" i="2"/>
  <c r="K432" i="2" s="1"/>
  <c r="U433" i="2"/>
  <c r="K433" i="2" s="1"/>
  <c r="U416" i="2"/>
  <c r="K416" i="2" s="1"/>
  <c r="U437" i="2"/>
  <c r="K437" i="2" s="1"/>
  <c r="I437" i="2" s="1"/>
  <c r="U438" i="2"/>
  <c r="K438" i="2" s="1"/>
  <c r="I438" i="2" s="1"/>
  <c r="U439" i="2"/>
  <c r="K439" i="2" s="1"/>
  <c r="U436" i="2"/>
  <c r="K436" i="2" s="1"/>
  <c r="I436" i="2" s="1"/>
  <c r="U441" i="2"/>
  <c r="K441" i="2" s="1"/>
  <c r="U443" i="2"/>
  <c r="K443" i="2" s="1"/>
  <c r="U449" i="2"/>
  <c r="K449" i="2" s="1"/>
  <c r="U448" i="2"/>
  <c r="K448" i="2" s="1"/>
  <c r="U450" i="2"/>
  <c r="K450" i="2" s="1"/>
  <c r="I450" i="2" s="1"/>
  <c r="U451" i="2"/>
  <c r="K451" i="2" s="1"/>
  <c r="I451" i="2" s="1"/>
  <c r="U452" i="2"/>
  <c r="K452" i="2" s="1"/>
  <c r="I452" i="2" s="1"/>
  <c r="U453" i="2"/>
  <c r="K453" i="2" s="1"/>
  <c r="I453" i="2" s="1"/>
  <c r="U457" i="2"/>
  <c r="K457" i="2" s="1"/>
  <c r="U458" i="2"/>
  <c r="K458" i="2" s="1"/>
  <c r="U459" i="2"/>
  <c r="K459" i="2" s="1"/>
  <c r="U460" i="2"/>
  <c r="K460" i="2" s="1"/>
  <c r="U461" i="2"/>
  <c r="K461" i="2" s="1"/>
  <c r="U462" i="2"/>
  <c r="K462" i="2" s="1"/>
  <c r="U463" i="2"/>
  <c r="K463" i="2" s="1"/>
  <c r="U464" i="2"/>
  <c r="K464" i="2" s="1"/>
  <c r="U465" i="2"/>
  <c r="K465" i="2" s="1"/>
  <c r="U456" i="2"/>
  <c r="K456" i="2" s="1"/>
  <c r="U468" i="2"/>
  <c r="K468" i="2" s="1"/>
  <c r="U471" i="2"/>
  <c r="K471" i="2" s="1"/>
  <c r="U475" i="2"/>
  <c r="K475" i="2" s="1"/>
  <c r="U476" i="2"/>
  <c r="K476" i="2" s="1"/>
  <c r="U477" i="2"/>
  <c r="K477" i="2" s="1"/>
  <c r="U478" i="2"/>
  <c r="K478" i="2" s="1"/>
  <c r="U479" i="2"/>
  <c r="K479" i="2" s="1"/>
  <c r="U480" i="2"/>
  <c r="K480" i="2" s="1"/>
  <c r="U481" i="2"/>
  <c r="K481" i="2" s="1"/>
  <c r="U482" i="2"/>
  <c r="K482" i="2" s="1"/>
  <c r="U483" i="2"/>
  <c r="K483" i="2" s="1"/>
  <c r="U484" i="2"/>
  <c r="U486" i="2"/>
  <c r="K486" i="2" s="1"/>
  <c r="U487" i="2"/>
  <c r="K487" i="2" s="1"/>
  <c r="U488" i="2"/>
  <c r="K488" i="2" s="1"/>
  <c r="U474" i="2"/>
  <c r="K474" i="2" s="1"/>
  <c r="U492" i="2"/>
  <c r="K492" i="2" s="1"/>
  <c r="U493" i="2"/>
  <c r="K493" i="2" s="1"/>
  <c r="U494" i="2"/>
  <c r="K494" i="2" s="1"/>
  <c r="U495" i="2"/>
  <c r="K495" i="2" s="1"/>
  <c r="U496" i="2"/>
  <c r="K496" i="2" s="1"/>
  <c r="U497" i="2"/>
  <c r="K497" i="2" s="1"/>
  <c r="U498" i="2"/>
  <c r="K498" i="2" s="1"/>
  <c r="U499" i="2"/>
  <c r="K499" i="2" s="1"/>
  <c r="U500" i="2"/>
  <c r="K500" i="2" s="1"/>
  <c r="U501" i="2"/>
  <c r="K501" i="2" s="1"/>
  <c r="U503" i="2"/>
  <c r="K503" i="2" s="1"/>
  <c r="U504" i="2"/>
  <c r="K504" i="2" s="1"/>
  <c r="U505" i="2"/>
  <c r="K505" i="2" s="1"/>
  <c r="U491" i="2"/>
  <c r="K491" i="2" s="1"/>
  <c r="U509" i="2"/>
  <c r="K509" i="2" s="1"/>
  <c r="U510" i="2"/>
  <c r="K510" i="2" s="1"/>
  <c r="U508" i="2"/>
  <c r="K508" i="2" s="1"/>
  <c r="U513" i="2"/>
  <c r="K513" i="2" s="1"/>
  <c r="U514" i="2"/>
  <c r="K514" i="2" s="1"/>
  <c r="U515" i="2"/>
  <c r="K515" i="2" s="1"/>
  <c r="U516" i="2"/>
  <c r="K516" i="2" s="1"/>
  <c r="U517" i="2"/>
  <c r="K517" i="2" s="1"/>
  <c r="U518" i="2"/>
  <c r="K518" i="2" s="1"/>
  <c r="U519" i="2"/>
  <c r="K519" i="2" s="1"/>
  <c r="U520" i="2"/>
  <c r="K520" i="2" s="1"/>
  <c r="U521" i="2"/>
  <c r="K521" i="2" s="1"/>
  <c r="U522" i="2"/>
  <c r="K522" i="2" s="1"/>
  <c r="U512" i="2"/>
  <c r="K512" i="2" s="1"/>
  <c r="U524" i="2"/>
  <c r="K524" i="2" s="1"/>
  <c r="U526" i="2"/>
  <c r="K526" i="2" s="1"/>
  <c r="U534" i="2"/>
  <c r="K534" i="2" s="1"/>
  <c r="U536" i="2"/>
  <c r="K536" i="2" s="1"/>
  <c r="U537" i="2"/>
  <c r="K537" i="2" s="1"/>
  <c r="U533" i="2"/>
  <c r="K533" i="2" s="1"/>
  <c r="U540" i="2"/>
  <c r="K540" i="2" s="1"/>
  <c r="U541" i="2"/>
  <c r="K541" i="2" s="1"/>
  <c r="U542" i="2"/>
  <c r="K542" i="2" s="1"/>
  <c r="U543" i="2"/>
  <c r="K543" i="2" s="1"/>
  <c r="U544" i="2"/>
  <c r="K544" i="2" s="1"/>
  <c r="U545" i="2"/>
  <c r="K545" i="2" s="1"/>
  <c r="U546" i="2"/>
  <c r="K546" i="2" s="1"/>
  <c r="U548" i="2"/>
  <c r="K548" i="2" s="1"/>
  <c r="U549" i="2"/>
  <c r="K549" i="2" s="1"/>
  <c r="U539" i="2"/>
  <c r="U552" i="2"/>
  <c r="K552" i="2" s="1"/>
  <c r="K550" i="2" s="1"/>
  <c r="U555" i="2"/>
  <c r="K555" i="2" s="1"/>
  <c r="U556" i="2"/>
  <c r="K556" i="2" s="1"/>
  <c r="U557" i="2"/>
  <c r="K557" i="2" s="1"/>
  <c r="U554" i="2"/>
  <c r="K554" i="2" s="1"/>
  <c r="U560" i="2"/>
  <c r="J560" i="2" s="1"/>
  <c r="U563" i="2"/>
  <c r="K563" i="2" s="1"/>
  <c r="U564" i="2"/>
  <c r="K564" i="2" s="1"/>
  <c r="U565" i="2"/>
  <c r="K565" i="2" s="1"/>
  <c r="U566" i="2"/>
  <c r="K566" i="2" s="1"/>
  <c r="U567" i="2"/>
  <c r="K567" i="2" s="1"/>
  <c r="U568" i="2"/>
  <c r="U562" i="2"/>
  <c r="K562" i="2" s="1"/>
  <c r="U572" i="2"/>
  <c r="K572" i="2" s="1"/>
  <c r="U573" i="2"/>
  <c r="K573" i="2" s="1"/>
  <c r="U571" i="2"/>
  <c r="K571" i="2" s="1"/>
  <c r="U580" i="2"/>
  <c r="K580" i="2" s="1"/>
  <c r="U581" i="2"/>
  <c r="K581" i="2" s="1"/>
  <c r="U582" i="2"/>
  <c r="K582" i="2" s="1"/>
  <c r="U587" i="2"/>
  <c r="K587" i="2" s="1"/>
  <c r="U588" i="2"/>
  <c r="K588" i="2" s="1"/>
  <c r="U589" i="2"/>
  <c r="K589" i="2" s="1"/>
  <c r="U586" i="2"/>
  <c r="K586" i="2" s="1"/>
  <c r="U592" i="2"/>
  <c r="U593" i="2"/>
  <c r="U594" i="2"/>
  <c r="K594" i="2" s="1"/>
  <c r="U595" i="2"/>
  <c r="K595" i="2" s="1"/>
  <c r="U596" i="2"/>
  <c r="K596" i="2" s="1"/>
  <c r="U597" i="2"/>
  <c r="U599" i="2"/>
  <c r="K599" i="2" s="1"/>
  <c r="U600" i="2"/>
  <c r="K600" i="2" s="1"/>
  <c r="U601" i="2"/>
  <c r="K601" i="2" s="1"/>
  <c r="U591" i="2"/>
  <c r="K591" i="2" s="1"/>
  <c r="U603" i="2"/>
  <c r="K603" i="2" s="1"/>
  <c r="U609" i="2"/>
  <c r="U610" i="2"/>
  <c r="K610" i="2" s="1"/>
  <c r="U611" i="2"/>
  <c r="K611" i="2" s="1"/>
  <c r="U606" i="2"/>
  <c r="K606" i="2" s="1"/>
  <c r="U613" i="2"/>
  <c r="U614" i="2"/>
  <c r="U617" i="2"/>
  <c r="K617" i="2" s="1"/>
  <c r="U619" i="2"/>
  <c r="K619" i="2" s="1"/>
  <c r="U625" i="2"/>
  <c r="K625" i="2" s="1"/>
  <c r="U626" i="2"/>
  <c r="K626" i="2" s="1"/>
  <c r="U627" i="2"/>
  <c r="K627" i="2" s="1"/>
  <c r="U628" i="2"/>
  <c r="K628" i="2" s="1"/>
  <c r="U629" i="2"/>
  <c r="K629" i="2" s="1"/>
  <c r="U630" i="2"/>
  <c r="K630" i="2" s="1"/>
  <c r="U631" i="2"/>
  <c r="K631" i="2" s="1"/>
  <c r="U632" i="2"/>
  <c r="K632" i="2" s="1"/>
  <c r="U633" i="2"/>
  <c r="K633" i="2" s="1"/>
  <c r="U634" i="2"/>
  <c r="K634" i="2" s="1"/>
  <c r="I634" i="2" s="1"/>
  <c r="U624" i="2"/>
  <c r="K624" i="2" s="1"/>
  <c r="U637" i="2"/>
  <c r="K637" i="2" s="1"/>
  <c r="U638" i="2"/>
  <c r="K638" i="2" s="1"/>
  <c r="U639" i="2"/>
  <c r="K639" i="2" s="1"/>
  <c r="U640" i="2"/>
  <c r="K640" i="2" s="1"/>
  <c r="U641" i="2"/>
  <c r="K641" i="2" s="1"/>
  <c r="U642" i="2"/>
  <c r="K642" i="2" s="1"/>
  <c r="U636" i="2"/>
  <c r="I327" i="2" l="1"/>
  <c r="K36" i="2"/>
  <c r="K569" i="2"/>
  <c r="K531" i="2"/>
  <c r="K602" i="2"/>
  <c r="K560" i="2"/>
  <c r="K558" i="2" s="1"/>
  <c r="K20" i="2"/>
  <c r="I309" i="2"/>
  <c r="K490" i="2"/>
  <c r="K384" i="2"/>
  <c r="K614" i="2"/>
  <c r="I614" i="2" s="1"/>
  <c r="I611" i="2"/>
  <c r="I610" i="2"/>
  <c r="K609" i="2"/>
  <c r="I609" i="2" s="1"/>
  <c r="K597" i="2"/>
  <c r="K593" i="2"/>
  <c r="K592" i="2"/>
  <c r="K568" i="2"/>
  <c r="I568" i="2" s="1"/>
  <c r="K539" i="2"/>
  <c r="K538" i="2" s="1"/>
  <c r="K484" i="2"/>
  <c r="K67" i="2"/>
  <c r="I569" i="2"/>
  <c r="K201" i="2"/>
  <c r="K636" i="2"/>
  <c r="J621" i="2"/>
  <c r="U531" i="2"/>
  <c r="I183" i="2"/>
  <c r="J183" i="2" s="1"/>
  <c r="U384" i="2"/>
  <c r="U605" i="2"/>
  <c r="K183" i="2"/>
  <c r="K168" i="2"/>
  <c r="U579" i="2"/>
  <c r="J579" i="2"/>
  <c r="U621" i="2"/>
  <c r="L66" i="2"/>
  <c r="L65" i="2"/>
  <c r="K65" i="2" s="1"/>
  <c r="G498" i="2"/>
  <c r="J497" i="2"/>
  <c r="J498" i="2"/>
  <c r="L490" i="2"/>
  <c r="M490" i="2"/>
  <c r="N490" i="2"/>
  <c r="P490" i="2"/>
  <c r="Q490" i="2"/>
  <c r="R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S490" i="2"/>
  <c r="K605" i="2" l="1"/>
  <c r="I539" i="2"/>
  <c r="I538" i="2" s="1"/>
  <c r="K66" i="2"/>
  <c r="I201" i="2"/>
  <c r="K579" i="2"/>
  <c r="J490" i="2"/>
  <c r="G490" i="2"/>
  <c r="I605" i="2" l="1"/>
  <c r="J605" i="2" l="1"/>
  <c r="J10" i="2" l="1"/>
  <c r="J12" i="2"/>
  <c r="J13" i="2"/>
  <c r="J14" i="2"/>
  <c r="J15" i="2"/>
  <c r="J16" i="2"/>
  <c r="J17" i="2"/>
  <c r="J21" i="2"/>
  <c r="J22" i="2"/>
  <c r="J23" i="2"/>
  <c r="J24" i="2"/>
  <c r="J26" i="2"/>
  <c r="J29" i="2"/>
  <c r="J30" i="2"/>
  <c r="J31" i="2"/>
  <c r="J33" i="2"/>
  <c r="J37" i="2"/>
  <c r="J38" i="2"/>
  <c r="J39" i="2"/>
  <c r="J40" i="2"/>
  <c r="J41" i="2"/>
  <c r="J44" i="2"/>
  <c r="J45" i="2"/>
  <c r="J49" i="2"/>
  <c r="J51" i="2"/>
  <c r="J52" i="2"/>
  <c r="J53" i="2"/>
  <c r="J54" i="2"/>
  <c r="J55" i="2"/>
  <c r="J56" i="2"/>
  <c r="J57" i="2"/>
  <c r="J58" i="2"/>
  <c r="J59" i="2"/>
  <c r="J60" i="2"/>
  <c r="J62" i="2"/>
  <c r="J65" i="2"/>
  <c r="J66" i="2"/>
  <c r="J70" i="2"/>
  <c r="J75" i="2"/>
  <c r="J77" i="2"/>
  <c r="J78" i="2"/>
  <c r="J79" i="2"/>
  <c r="J81" i="2"/>
  <c r="J88" i="2"/>
  <c r="J89" i="2"/>
  <c r="J90" i="2"/>
  <c r="J91" i="2"/>
  <c r="J92" i="2"/>
  <c r="J93" i="2"/>
  <c r="J94" i="2"/>
  <c r="J95" i="2"/>
  <c r="J97" i="2"/>
  <c r="J98" i="2"/>
  <c r="J99" i="2"/>
  <c r="J100" i="2"/>
  <c r="J101" i="2"/>
  <c r="J102" i="2"/>
  <c r="J103" i="2"/>
  <c r="J104" i="2"/>
  <c r="J106" i="2"/>
  <c r="J107" i="2"/>
  <c r="J109" i="2"/>
  <c r="J110" i="2"/>
  <c r="J118" i="2"/>
  <c r="J119" i="2"/>
  <c r="J120" i="2"/>
  <c r="J121" i="2"/>
  <c r="J124" i="2"/>
  <c r="J125" i="2"/>
  <c r="J126" i="2"/>
  <c r="J127" i="2"/>
  <c r="J128" i="2"/>
  <c r="J129" i="2"/>
  <c r="J130" i="2"/>
  <c r="J131" i="2"/>
  <c r="J133" i="2"/>
  <c r="J134" i="2"/>
  <c r="J135" i="2"/>
  <c r="J136" i="2"/>
  <c r="J137" i="2"/>
  <c r="J138" i="2"/>
  <c r="J139" i="2"/>
  <c r="J140" i="2"/>
  <c r="J144" i="2"/>
  <c r="J147" i="2"/>
  <c r="J150" i="2"/>
  <c r="J151" i="2"/>
  <c r="J152" i="2"/>
  <c r="J155" i="2"/>
  <c r="J156" i="2"/>
  <c r="J157" i="2"/>
  <c r="J158" i="2"/>
  <c r="J159" i="2"/>
  <c r="J160" i="2"/>
  <c r="J161" i="2"/>
  <c r="J167" i="2"/>
  <c r="J184" i="2"/>
  <c r="J185" i="2"/>
  <c r="J186" i="2"/>
  <c r="J187" i="2"/>
  <c r="J190" i="2"/>
  <c r="J196" i="2"/>
  <c r="J197" i="2"/>
  <c r="J198" i="2"/>
  <c r="J199" i="2"/>
  <c r="J203" i="2"/>
  <c r="J211" i="2"/>
  <c r="J214" i="2"/>
  <c r="J215" i="2"/>
  <c r="J216" i="2"/>
  <c r="J217" i="2"/>
  <c r="J218" i="2"/>
  <c r="J219" i="2"/>
  <c r="J220" i="2"/>
  <c r="J221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7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80" i="2"/>
  <c r="J281" i="2"/>
  <c r="J283" i="2"/>
  <c r="J284" i="2"/>
  <c r="J285" i="2"/>
  <c r="J286" i="2"/>
  <c r="J287" i="2"/>
  <c r="J289" i="2"/>
  <c r="J290" i="2"/>
  <c r="J292" i="2"/>
  <c r="J293" i="2"/>
  <c r="J294" i="2"/>
  <c r="J299" i="2"/>
  <c r="J300" i="2"/>
  <c r="J301" i="2"/>
  <c r="J302" i="2"/>
  <c r="J303" i="2"/>
  <c r="J304" i="2"/>
  <c r="J305" i="2"/>
  <c r="J306" i="2"/>
  <c r="J311" i="2"/>
  <c r="J313" i="2"/>
  <c r="J314" i="2"/>
  <c r="J315" i="2"/>
  <c r="J316" i="2"/>
  <c r="J317" i="2"/>
  <c r="J318" i="2"/>
  <c r="J319" i="2"/>
  <c r="J320" i="2"/>
  <c r="J325" i="2"/>
  <c r="J326" i="2"/>
  <c r="J329" i="2"/>
  <c r="J330" i="2"/>
  <c r="J336" i="2"/>
  <c r="J337" i="2"/>
  <c r="J338" i="2"/>
  <c r="J339" i="2"/>
  <c r="J340" i="2"/>
  <c r="J341" i="2"/>
  <c r="J342" i="2"/>
  <c r="J343" i="2"/>
  <c r="J344" i="2"/>
  <c r="J347" i="2"/>
  <c r="J348" i="2"/>
  <c r="J349" i="2"/>
  <c r="J350" i="2"/>
  <c r="J351" i="2"/>
  <c r="J355" i="2"/>
  <c r="J358" i="2"/>
  <c r="J359" i="2"/>
  <c r="J360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5" i="2"/>
  <c r="J379" i="2"/>
  <c r="J380" i="2"/>
  <c r="J383" i="2"/>
  <c r="J386" i="2"/>
  <c r="J388" i="2"/>
  <c r="J389" i="2"/>
  <c r="J390" i="2"/>
  <c r="J391" i="2"/>
  <c r="J392" i="2"/>
  <c r="J394" i="2"/>
  <c r="J401" i="2"/>
  <c r="J402" i="2"/>
  <c r="J404" i="2"/>
  <c r="J405" i="2"/>
  <c r="J408" i="2"/>
  <c r="J410" i="2"/>
  <c r="J411" i="2"/>
  <c r="J413" i="2"/>
  <c r="J414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6" i="2"/>
  <c r="J437" i="2"/>
  <c r="J438" i="2"/>
  <c r="J439" i="2"/>
  <c r="J441" i="2"/>
  <c r="J443" i="2"/>
  <c r="J448" i="2"/>
  <c r="J449" i="2"/>
  <c r="J456" i="2"/>
  <c r="J457" i="2"/>
  <c r="J458" i="2"/>
  <c r="J459" i="2"/>
  <c r="J460" i="2"/>
  <c r="J461" i="2"/>
  <c r="J462" i="2"/>
  <c r="J463" i="2"/>
  <c r="J464" i="2"/>
  <c r="J465" i="2"/>
  <c r="J468" i="2"/>
  <c r="J471" i="2"/>
  <c r="J474" i="2"/>
  <c r="J475" i="2"/>
  <c r="J476" i="2"/>
  <c r="J477" i="2"/>
  <c r="J478" i="2"/>
  <c r="J479" i="2"/>
  <c r="J480" i="2"/>
  <c r="J481" i="2"/>
  <c r="J482" i="2"/>
  <c r="J483" i="2"/>
  <c r="J486" i="2"/>
  <c r="J487" i="2"/>
  <c r="J488" i="2"/>
  <c r="J491" i="2"/>
  <c r="J492" i="2"/>
  <c r="J493" i="2"/>
  <c r="J494" i="2"/>
  <c r="J495" i="2"/>
  <c r="J496" i="2"/>
  <c r="J499" i="2"/>
  <c r="J500" i="2"/>
  <c r="J501" i="2"/>
  <c r="J503" i="2"/>
  <c r="J504" i="2"/>
  <c r="J505" i="2"/>
  <c r="J508" i="2"/>
  <c r="J509" i="2"/>
  <c r="J510" i="2"/>
  <c r="J512" i="2"/>
  <c r="J513" i="2"/>
  <c r="J514" i="2"/>
  <c r="J515" i="2"/>
  <c r="J516" i="2"/>
  <c r="J517" i="2"/>
  <c r="J518" i="2"/>
  <c r="J519" i="2"/>
  <c r="J520" i="2"/>
  <c r="J521" i="2"/>
  <c r="J524" i="2"/>
  <c r="J526" i="2"/>
  <c r="J534" i="2"/>
  <c r="J536" i="2"/>
  <c r="J537" i="2"/>
  <c r="J540" i="2"/>
  <c r="J541" i="2"/>
  <c r="J542" i="2"/>
  <c r="J543" i="2"/>
  <c r="J544" i="2"/>
  <c r="J545" i="2"/>
  <c r="J546" i="2"/>
  <c r="J548" i="2"/>
  <c r="J549" i="2"/>
  <c r="J552" i="2"/>
  <c r="J554" i="2"/>
  <c r="J555" i="2"/>
  <c r="J556" i="2"/>
  <c r="J557" i="2"/>
  <c r="J562" i="2"/>
  <c r="J563" i="2"/>
  <c r="J564" i="2"/>
  <c r="J565" i="2"/>
  <c r="J566" i="2"/>
  <c r="J567" i="2"/>
  <c r="J571" i="2"/>
  <c r="J572" i="2"/>
  <c r="J573" i="2"/>
  <c r="J580" i="2"/>
  <c r="J581" i="2"/>
  <c r="J582" i="2"/>
  <c r="J586" i="2"/>
  <c r="J587" i="2"/>
  <c r="J588" i="2"/>
  <c r="J589" i="2"/>
  <c r="J591" i="2"/>
  <c r="J594" i="2"/>
  <c r="J595" i="2"/>
  <c r="J596" i="2"/>
  <c r="J599" i="2"/>
  <c r="J600" i="2"/>
  <c r="J601" i="2"/>
  <c r="J603" i="2"/>
  <c r="J606" i="2"/>
  <c r="J613" i="2"/>
  <c r="J617" i="2"/>
  <c r="J619" i="2"/>
  <c r="J624" i="2"/>
  <c r="J625" i="2"/>
  <c r="J626" i="2"/>
  <c r="J627" i="2"/>
  <c r="J628" i="2"/>
  <c r="J629" i="2"/>
  <c r="J630" i="2"/>
  <c r="J631" i="2"/>
  <c r="J632" i="2"/>
  <c r="J633" i="2"/>
  <c r="J636" i="2"/>
  <c r="J637" i="2"/>
  <c r="J638" i="2"/>
  <c r="J639" i="2"/>
  <c r="J640" i="2"/>
  <c r="J641" i="2"/>
  <c r="J642" i="2"/>
  <c r="J6" i="2"/>
  <c r="G10" i="2"/>
  <c r="G12" i="2"/>
  <c r="G13" i="2"/>
  <c r="G14" i="2"/>
  <c r="G15" i="2"/>
  <c r="G16" i="2"/>
  <c r="G17" i="2"/>
  <c r="G21" i="2"/>
  <c r="G22" i="2"/>
  <c r="G23" i="2"/>
  <c r="G24" i="2"/>
  <c r="G26" i="2"/>
  <c r="G29" i="2"/>
  <c r="G30" i="2"/>
  <c r="G31" i="2"/>
  <c r="G33" i="2"/>
  <c r="G37" i="2"/>
  <c r="G38" i="2"/>
  <c r="G39" i="2"/>
  <c r="G40" i="2"/>
  <c r="G41" i="2"/>
  <c r="G44" i="2"/>
  <c r="G45" i="2"/>
  <c r="G49" i="2"/>
  <c r="G51" i="2"/>
  <c r="G52" i="2"/>
  <c r="G53" i="2"/>
  <c r="G54" i="2"/>
  <c r="G55" i="2"/>
  <c r="G56" i="2"/>
  <c r="G57" i="2"/>
  <c r="G58" i="2"/>
  <c r="G59" i="2"/>
  <c r="G60" i="2"/>
  <c r="G62" i="2"/>
  <c r="G65" i="2"/>
  <c r="G66" i="2"/>
  <c r="G70" i="2"/>
  <c r="G75" i="2"/>
  <c r="G77" i="2"/>
  <c r="G78" i="2"/>
  <c r="G79" i="2"/>
  <c r="G81" i="2"/>
  <c r="G83" i="2"/>
  <c r="G84" i="2"/>
  <c r="G85" i="2"/>
  <c r="G86" i="2"/>
  <c r="G88" i="2"/>
  <c r="G89" i="2"/>
  <c r="G90" i="2"/>
  <c r="G91" i="2"/>
  <c r="G92" i="2"/>
  <c r="G93" i="2"/>
  <c r="G94" i="2"/>
  <c r="G95" i="2"/>
  <c r="G97" i="2"/>
  <c r="G98" i="2"/>
  <c r="G99" i="2"/>
  <c r="G100" i="2"/>
  <c r="G101" i="2"/>
  <c r="G102" i="2"/>
  <c r="G103" i="2"/>
  <c r="G104" i="2"/>
  <c r="G106" i="2"/>
  <c r="G107" i="2"/>
  <c r="G109" i="2"/>
  <c r="G110" i="2"/>
  <c r="G118" i="2"/>
  <c r="G119" i="2"/>
  <c r="G120" i="2"/>
  <c r="G121" i="2"/>
  <c r="G124" i="2"/>
  <c r="G125" i="2"/>
  <c r="G126" i="2"/>
  <c r="G127" i="2"/>
  <c r="G128" i="2"/>
  <c r="G129" i="2"/>
  <c r="G130" i="2"/>
  <c r="G131" i="2"/>
  <c r="G133" i="2"/>
  <c r="G134" i="2"/>
  <c r="G135" i="2"/>
  <c r="G136" i="2"/>
  <c r="G137" i="2"/>
  <c r="G138" i="2"/>
  <c r="G139" i="2"/>
  <c r="G140" i="2"/>
  <c r="G143" i="2"/>
  <c r="G144" i="2"/>
  <c r="G147" i="2"/>
  <c r="G150" i="2"/>
  <c r="G151" i="2"/>
  <c r="G152" i="2"/>
  <c r="G154" i="2"/>
  <c r="G155" i="2"/>
  <c r="G156" i="2"/>
  <c r="G157" i="2"/>
  <c r="G158" i="2"/>
  <c r="G159" i="2"/>
  <c r="G160" i="2"/>
  <c r="G161" i="2"/>
  <c r="G167" i="2"/>
  <c r="G169" i="2"/>
  <c r="G170" i="2"/>
  <c r="G171" i="2"/>
  <c r="G172" i="2"/>
  <c r="G173" i="2"/>
  <c r="G174" i="2"/>
  <c r="G175" i="2"/>
  <c r="G177" i="2"/>
  <c r="G179" i="2"/>
  <c r="G180" i="2"/>
  <c r="G181" i="2"/>
  <c r="G182" i="2"/>
  <c r="G184" i="2"/>
  <c r="G185" i="2"/>
  <c r="G186" i="2"/>
  <c r="G187" i="2"/>
  <c r="G190" i="2"/>
  <c r="G196" i="2"/>
  <c r="G197" i="2"/>
  <c r="G198" i="2"/>
  <c r="G199" i="2"/>
  <c r="G203" i="2"/>
  <c r="G214" i="2"/>
  <c r="G215" i="2"/>
  <c r="G216" i="2"/>
  <c r="G217" i="2"/>
  <c r="G218" i="2"/>
  <c r="G219" i="2"/>
  <c r="G220" i="2"/>
  <c r="G221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7" i="2"/>
  <c r="G239" i="2"/>
  <c r="G240" i="2"/>
  <c r="G241" i="2"/>
  <c r="G242" i="2"/>
  <c r="G243" i="2"/>
  <c r="G244" i="2"/>
  <c r="G245" i="2"/>
  <c r="G247" i="2"/>
  <c r="G248" i="2"/>
  <c r="G249" i="2"/>
  <c r="G250" i="2"/>
  <c r="G251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8" i="2"/>
  <c r="G280" i="2"/>
  <c r="G281" i="2"/>
  <c r="G283" i="2"/>
  <c r="G284" i="2"/>
  <c r="G285" i="2"/>
  <c r="G286" i="2"/>
  <c r="G287" i="2"/>
  <c r="G289" i="2"/>
  <c r="G290" i="2"/>
  <c r="G292" i="2"/>
  <c r="G293" i="2"/>
  <c r="G294" i="2"/>
  <c r="G299" i="2"/>
  <c r="G300" i="2"/>
  <c r="G301" i="2"/>
  <c r="G302" i="2"/>
  <c r="G303" i="2"/>
  <c r="G304" i="2"/>
  <c r="G305" i="2"/>
  <c r="G306" i="2"/>
  <c r="G311" i="2"/>
  <c r="G313" i="2"/>
  <c r="G314" i="2"/>
  <c r="G315" i="2"/>
  <c r="G316" i="2"/>
  <c r="G317" i="2"/>
  <c r="G318" i="2"/>
  <c r="G319" i="2"/>
  <c r="G320" i="2"/>
  <c r="G325" i="2"/>
  <c r="G326" i="2"/>
  <c r="G330" i="2"/>
  <c r="G336" i="2"/>
  <c r="G337" i="2"/>
  <c r="G338" i="2"/>
  <c r="G339" i="2"/>
  <c r="G340" i="2"/>
  <c r="G341" i="2"/>
  <c r="G342" i="2"/>
  <c r="G343" i="2"/>
  <c r="G344" i="2"/>
  <c r="G347" i="2"/>
  <c r="G348" i="2"/>
  <c r="G349" i="2"/>
  <c r="G350" i="2"/>
  <c r="G351" i="2"/>
  <c r="G355" i="2"/>
  <c r="G358" i="2"/>
  <c r="G359" i="2"/>
  <c r="G360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5" i="2"/>
  <c r="G379" i="2"/>
  <c r="G380" i="2"/>
  <c r="G383" i="2"/>
  <c r="G386" i="2"/>
  <c r="G388" i="2"/>
  <c r="G389" i="2"/>
  <c r="G390" i="2"/>
  <c r="G391" i="2"/>
  <c r="G392" i="2"/>
  <c r="G394" i="2"/>
  <c r="G401" i="2"/>
  <c r="G402" i="2"/>
  <c r="G404" i="2"/>
  <c r="G405" i="2"/>
  <c r="G408" i="2"/>
  <c r="G410" i="2"/>
  <c r="G411" i="2"/>
  <c r="G413" i="2"/>
  <c r="G414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6" i="2"/>
  <c r="G437" i="2"/>
  <c r="G438" i="2"/>
  <c r="G439" i="2"/>
  <c r="G441" i="2"/>
  <c r="G443" i="2"/>
  <c r="G448" i="2"/>
  <c r="G449" i="2"/>
  <c r="G456" i="2"/>
  <c r="G457" i="2"/>
  <c r="G458" i="2"/>
  <c r="G459" i="2"/>
  <c r="G460" i="2"/>
  <c r="G461" i="2"/>
  <c r="G462" i="2"/>
  <c r="G463" i="2"/>
  <c r="G464" i="2"/>
  <c r="G465" i="2"/>
  <c r="G468" i="2"/>
  <c r="G471" i="2"/>
  <c r="G474" i="2"/>
  <c r="G475" i="2"/>
  <c r="G476" i="2"/>
  <c r="G477" i="2"/>
  <c r="G478" i="2"/>
  <c r="G479" i="2"/>
  <c r="G480" i="2"/>
  <c r="G481" i="2"/>
  <c r="G482" i="2"/>
  <c r="G483" i="2"/>
  <c r="G486" i="2"/>
  <c r="G487" i="2"/>
  <c r="G488" i="2"/>
  <c r="G491" i="2"/>
  <c r="G492" i="2"/>
  <c r="G493" i="2"/>
  <c r="G494" i="2"/>
  <c r="G495" i="2"/>
  <c r="G496" i="2"/>
  <c r="G499" i="2"/>
  <c r="G500" i="2"/>
  <c r="G501" i="2"/>
  <c r="G503" i="2"/>
  <c r="G504" i="2"/>
  <c r="G505" i="2"/>
  <c r="G508" i="2"/>
  <c r="G509" i="2"/>
  <c r="G510" i="2"/>
  <c r="G512" i="2"/>
  <c r="G513" i="2"/>
  <c r="G514" i="2"/>
  <c r="G515" i="2"/>
  <c r="G516" i="2"/>
  <c r="G517" i="2"/>
  <c r="G518" i="2"/>
  <c r="G519" i="2"/>
  <c r="G520" i="2"/>
  <c r="G521" i="2"/>
  <c r="G524" i="2"/>
  <c r="G526" i="2"/>
  <c r="G534" i="2"/>
  <c r="G537" i="2"/>
  <c r="G540" i="2"/>
  <c r="G541" i="2"/>
  <c r="G542" i="2"/>
  <c r="G543" i="2"/>
  <c r="G544" i="2"/>
  <c r="G545" i="2"/>
  <c r="G546" i="2"/>
  <c r="G548" i="2"/>
  <c r="G549" i="2"/>
  <c r="G552" i="2"/>
  <c r="G554" i="2"/>
  <c r="G555" i="2"/>
  <c r="G556" i="2"/>
  <c r="G557" i="2"/>
  <c r="G562" i="2"/>
  <c r="G563" i="2"/>
  <c r="G564" i="2"/>
  <c r="G565" i="2"/>
  <c r="G566" i="2"/>
  <c r="G567" i="2"/>
  <c r="G571" i="2"/>
  <c r="G572" i="2"/>
  <c r="G573" i="2"/>
  <c r="G580" i="2"/>
  <c r="G581" i="2"/>
  <c r="G582" i="2"/>
  <c r="G586" i="2"/>
  <c r="G587" i="2"/>
  <c r="G588" i="2"/>
  <c r="G589" i="2"/>
  <c r="G591" i="2"/>
  <c r="G594" i="2"/>
  <c r="G595" i="2"/>
  <c r="G596" i="2"/>
  <c r="G599" i="2"/>
  <c r="G600" i="2"/>
  <c r="G601" i="2"/>
  <c r="G603" i="2"/>
  <c r="G606" i="2"/>
  <c r="G613" i="2"/>
  <c r="G617" i="2"/>
  <c r="G619" i="2"/>
  <c r="G624" i="2"/>
  <c r="G625" i="2"/>
  <c r="G626" i="2"/>
  <c r="G627" i="2"/>
  <c r="G628" i="2"/>
  <c r="G629" i="2"/>
  <c r="G630" i="2"/>
  <c r="G631" i="2"/>
  <c r="G632" i="2"/>
  <c r="G633" i="2"/>
  <c r="G636" i="2"/>
  <c r="G637" i="2"/>
  <c r="G638" i="2"/>
  <c r="G639" i="2"/>
  <c r="G640" i="2"/>
  <c r="G641" i="2"/>
  <c r="G642" i="2"/>
  <c r="G6" i="2"/>
  <c r="K473" i="2"/>
  <c r="L473" i="2"/>
  <c r="M473" i="2"/>
  <c r="N473" i="2"/>
  <c r="P473" i="2"/>
  <c r="Q473" i="2"/>
  <c r="R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S473" i="2"/>
  <c r="F635" i="2"/>
  <c r="I635" i="2"/>
  <c r="K635" i="2"/>
  <c r="L635" i="2"/>
  <c r="M635" i="2"/>
  <c r="M620" i="2" s="1"/>
  <c r="N635" i="2"/>
  <c r="P635" i="2"/>
  <c r="Q635" i="2"/>
  <c r="R635" i="2"/>
  <c r="R620" i="2" s="1"/>
  <c r="T635" i="2"/>
  <c r="U635" i="2"/>
  <c r="V635" i="2"/>
  <c r="W635" i="2"/>
  <c r="W620" i="2" s="1"/>
  <c r="X635" i="2"/>
  <c r="Y635" i="2"/>
  <c r="Z635" i="2"/>
  <c r="AA635" i="2"/>
  <c r="AA620" i="2" s="1"/>
  <c r="AB635" i="2"/>
  <c r="AC635" i="2"/>
  <c r="AD635" i="2"/>
  <c r="AE635" i="2"/>
  <c r="AE620" i="2" s="1"/>
  <c r="AF635" i="2"/>
  <c r="S635" i="2"/>
  <c r="E635" i="2"/>
  <c r="K615" i="2"/>
  <c r="M615" i="2"/>
  <c r="N615" i="2"/>
  <c r="P615" i="2"/>
  <c r="Q615" i="2"/>
  <c r="R615" i="2"/>
  <c r="T615" i="2"/>
  <c r="U615" i="2"/>
  <c r="V615" i="2"/>
  <c r="W615" i="2"/>
  <c r="X615" i="2"/>
  <c r="Y615" i="2"/>
  <c r="Z615" i="2"/>
  <c r="AA615" i="2"/>
  <c r="AB615" i="2"/>
  <c r="AC615" i="2"/>
  <c r="AD615" i="2"/>
  <c r="AE615" i="2"/>
  <c r="AF615" i="2"/>
  <c r="S615" i="2"/>
  <c r="F612" i="2"/>
  <c r="F584" i="2" s="1"/>
  <c r="H612" i="2"/>
  <c r="H584" i="2" s="1"/>
  <c r="I612" i="2"/>
  <c r="I584" i="2" s="1"/>
  <c r="K612" i="2"/>
  <c r="L612" i="2"/>
  <c r="M612" i="2"/>
  <c r="N612" i="2"/>
  <c r="P612" i="2"/>
  <c r="Q612" i="2"/>
  <c r="R612" i="2"/>
  <c r="T612" i="2"/>
  <c r="U612" i="2"/>
  <c r="V612" i="2"/>
  <c r="W612" i="2"/>
  <c r="X612" i="2"/>
  <c r="Y612" i="2"/>
  <c r="Z612" i="2"/>
  <c r="AA612" i="2"/>
  <c r="AB612" i="2"/>
  <c r="AC612" i="2"/>
  <c r="AD612" i="2"/>
  <c r="AE612" i="2"/>
  <c r="AF612" i="2"/>
  <c r="S612" i="2"/>
  <c r="E612" i="2"/>
  <c r="E584" i="2" s="1"/>
  <c r="M602" i="2"/>
  <c r="N602" i="2"/>
  <c r="P602" i="2"/>
  <c r="Q602" i="2"/>
  <c r="R602" i="2"/>
  <c r="T602" i="2"/>
  <c r="U602" i="2"/>
  <c r="V602" i="2"/>
  <c r="W602" i="2"/>
  <c r="X602" i="2"/>
  <c r="Y602" i="2"/>
  <c r="Z602" i="2"/>
  <c r="AA602" i="2"/>
  <c r="AB602" i="2"/>
  <c r="AC602" i="2"/>
  <c r="AD602" i="2"/>
  <c r="AE602" i="2"/>
  <c r="AF602" i="2"/>
  <c r="K590" i="2"/>
  <c r="L590" i="2"/>
  <c r="M590" i="2"/>
  <c r="N590" i="2"/>
  <c r="P590" i="2"/>
  <c r="Q590" i="2"/>
  <c r="R590" i="2"/>
  <c r="T590" i="2"/>
  <c r="U590" i="2"/>
  <c r="V590" i="2"/>
  <c r="W590" i="2"/>
  <c r="X590" i="2"/>
  <c r="Y590" i="2"/>
  <c r="Z590" i="2"/>
  <c r="AA590" i="2"/>
  <c r="AB590" i="2"/>
  <c r="AC590" i="2"/>
  <c r="AD590" i="2"/>
  <c r="AE590" i="2"/>
  <c r="AF590" i="2"/>
  <c r="S590" i="2"/>
  <c r="K585" i="2"/>
  <c r="L585" i="2"/>
  <c r="M585" i="2"/>
  <c r="N585" i="2"/>
  <c r="P585" i="2"/>
  <c r="Q585" i="2"/>
  <c r="R585" i="2"/>
  <c r="T585" i="2"/>
  <c r="U585" i="2"/>
  <c r="V585" i="2"/>
  <c r="W585" i="2"/>
  <c r="X585" i="2"/>
  <c r="Y585" i="2"/>
  <c r="Z585" i="2"/>
  <c r="AA585" i="2"/>
  <c r="AB585" i="2"/>
  <c r="AC585" i="2"/>
  <c r="AD585" i="2"/>
  <c r="AE585" i="2"/>
  <c r="AF585" i="2"/>
  <c r="S585" i="2"/>
  <c r="M569" i="2"/>
  <c r="N569" i="2"/>
  <c r="P569" i="2"/>
  <c r="Q569" i="2"/>
  <c r="R569" i="2"/>
  <c r="T569" i="2"/>
  <c r="U569" i="2"/>
  <c r="V569" i="2"/>
  <c r="W569" i="2"/>
  <c r="X569" i="2"/>
  <c r="Y569" i="2"/>
  <c r="Z569" i="2"/>
  <c r="AA569" i="2"/>
  <c r="AB569" i="2"/>
  <c r="AC569" i="2"/>
  <c r="AD569" i="2"/>
  <c r="AE569" i="2"/>
  <c r="AF569" i="2"/>
  <c r="F561" i="2"/>
  <c r="H561" i="2"/>
  <c r="I561" i="2"/>
  <c r="K561" i="2"/>
  <c r="L561" i="2"/>
  <c r="M561" i="2"/>
  <c r="N561" i="2"/>
  <c r="P561" i="2"/>
  <c r="Q561" i="2"/>
  <c r="R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S561" i="2"/>
  <c r="E561" i="2"/>
  <c r="N558" i="2"/>
  <c r="P558" i="2"/>
  <c r="Q558" i="2"/>
  <c r="R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F558" i="2"/>
  <c r="S558" i="2"/>
  <c r="F553" i="2"/>
  <c r="H553" i="2"/>
  <c r="I553" i="2"/>
  <c r="K553" i="2"/>
  <c r="L553" i="2"/>
  <c r="M553" i="2"/>
  <c r="N553" i="2"/>
  <c r="P553" i="2"/>
  <c r="Q553" i="2"/>
  <c r="R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S553" i="2"/>
  <c r="E553" i="2"/>
  <c r="M550" i="2"/>
  <c r="P550" i="2"/>
  <c r="Q550" i="2"/>
  <c r="R550" i="2"/>
  <c r="T550" i="2"/>
  <c r="U550" i="2"/>
  <c r="V550" i="2"/>
  <c r="W550" i="2"/>
  <c r="X550" i="2"/>
  <c r="Y550" i="2"/>
  <c r="Z550" i="2"/>
  <c r="AA550" i="2"/>
  <c r="AB550" i="2"/>
  <c r="AC550" i="2"/>
  <c r="AD550" i="2"/>
  <c r="AE550" i="2"/>
  <c r="AF550" i="2"/>
  <c r="S550" i="2"/>
  <c r="N538" i="2"/>
  <c r="P538" i="2"/>
  <c r="Q538" i="2"/>
  <c r="R538" i="2"/>
  <c r="T538" i="2"/>
  <c r="U538" i="2"/>
  <c r="V538" i="2"/>
  <c r="W538" i="2"/>
  <c r="X538" i="2"/>
  <c r="Y538" i="2"/>
  <c r="Z538" i="2"/>
  <c r="AA538" i="2"/>
  <c r="AB538" i="2"/>
  <c r="AC538" i="2"/>
  <c r="AD538" i="2"/>
  <c r="AE538" i="2"/>
  <c r="AF538" i="2"/>
  <c r="S538" i="2"/>
  <c r="F525" i="2"/>
  <c r="H525" i="2"/>
  <c r="I525" i="2"/>
  <c r="K525" i="2"/>
  <c r="L525" i="2"/>
  <c r="M525" i="2"/>
  <c r="N525" i="2"/>
  <c r="P525" i="2"/>
  <c r="Q525" i="2"/>
  <c r="R525" i="2"/>
  <c r="T525" i="2"/>
  <c r="U525" i="2"/>
  <c r="V525" i="2"/>
  <c r="W525" i="2"/>
  <c r="X525" i="2"/>
  <c r="Y525" i="2"/>
  <c r="Z525" i="2"/>
  <c r="AA525" i="2"/>
  <c r="AB525" i="2"/>
  <c r="AC525" i="2"/>
  <c r="AD525" i="2"/>
  <c r="AE525" i="2"/>
  <c r="AF525" i="2"/>
  <c r="S525" i="2"/>
  <c r="E525" i="2"/>
  <c r="F523" i="2"/>
  <c r="H523" i="2"/>
  <c r="I523" i="2"/>
  <c r="K523" i="2"/>
  <c r="L523" i="2"/>
  <c r="M523" i="2"/>
  <c r="N523" i="2"/>
  <c r="P523" i="2"/>
  <c r="Q523" i="2"/>
  <c r="R523" i="2"/>
  <c r="T523" i="2"/>
  <c r="U523" i="2"/>
  <c r="V523" i="2"/>
  <c r="W523" i="2"/>
  <c r="X523" i="2"/>
  <c r="Y523" i="2"/>
  <c r="Z523" i="2"/>
  <c r="AA523" i="2"/>
  <c r="AB523" i="2"/>
  <c r="AC523" i="2"/>
  <c r="AD523" i="2"/>
  <c r="AE523" i="2"/>
  <c r="AF523" i="2"/>
  <c r="S523" i="2"/>
  <c r="E523" i="2"/>
  <c r="F511" i="2"/>
  <c r="H511" i="2"/>
  <c r="I511" i="2"/>
  <c r="K511" i="2"/>
  <c r="L511" i="2"/>
  <c r="M511" i="2"/>
  <c r="N511" i="2"/>
  <c r="P511" i="2"/>
  <c r="Q511" i="2"/>
  <c r="R511" i="2"/>
  <c r="T511" i="2"/>
  <c r="U511" i="2"/>
  <c r="V511" i="2"/>
  <c r="W511" i="2"/>
  <c r="X511" i="2"/>
  <c r="Y511" i="2"/>
  <c r="Z511" i="2"/>
  <c r="AA511" i="2"/>
  <c r="AB511" i="2"/>
  <c r="AC511" i="2"/>
  <c r="AD511" i="2"/>
  <c r="AE511" i="2"/>
  <c r="AF511" i="2"/>
  <c r="S511" i="2"/>
  <c r="E511" i="2"/>
  <c r="F507" i="2"/>
  <c r="H507" i="2"/>
  <c r="I507" i="2"/>
  <c r="K507" i="2"/>
  <c r="L507" i="2"/>
  <c r="M507" i="2"/>
  <c r="N507" i="2"/>
  <c r="P507" i="2"/>
  <c r="Q507" i="2"/>
  <c r="R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F507" i="2"/>
  <c r="S507" i="2"/>
  <c r="E507" i="2"/>
  <c r="F470" i="2"/>
  <c r="H470" i="2"/>
  <c r="I470" i="2"/>
  <c r="K470" i="2"/>
  <c r="L470" i="2"/>
  <c r="M470" i="2"/>
  <c r="N470" i="2"/>
  <c r="P470" i="2"/>
  <c r="Q470" i="2"/>
  <c r="R470" i="2"/>
  <c r="T470" i="2"/>
  <c r="U470" i="2"/>
  <c r="V470" i="2"/>
  <c r="W470" i="2"/>
  <c r="X470" i="2"/>
  <c r="Y470" i="2"/>
  <c r="Z470" i="2"/>
  <c r="AA470" i="2"/>
  <c r="AB470" i="2"/>
  <c r="AC470" i="2"/>
  <c r="AD470" i="2"/>
  <c r="AE470" i="2"/>
  <c r="AF470" i="2"/>
  <c r="S470" i="2"/>
  <c r="E470" i="2"/>
  <c r="K467" i="2"/>
  <c r="L467" i="2"/>
  <c r="M467" i="2"/>
  <c r="N467" i="2"/>
  <c r="P467" i="2"/>
  <c r="Q467" i="2"/>
  <c r="R467" i="2"/>
  <c r="T467" i="2"/>
  <c r="U467" i="2"/>
  <c r="V467" i="2"/>
  <c r="W467" i="2"/>
  <c r="X467" i="2"/>
  <c r="Y467" i="2"/>
  <c r="Z467" i="2"/>
  <c r="AA467" i="2"/>
  <c r="AB467" i="2"/>
  <c r="AC467" i="2"/>
  <c r="AD467" i="2"/>
  <c r="AE467" i="2"/>
  <c r="AF467" i="2"/>
  <c r="S467" i="2"/>
  <c r="K455" i="2"/>
  <c r="L455" i="2"/>
  <c r="M455" i="2"/>
  <c r="N455" i="2"/>
  <c r="P455" i="2"/>
  <c r="Q455" i="2"/>
  <c r="R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F455" i="2"/>
  <c r="S455" i="2"/>
  <c r="H444" i="2"/>
  <c r="K444" i="2"/>
  <c r="L444" i="2"/>
  <c r="M444" i="2"/>
  <c r="N444" i="2"/>
  <c r="P444" i="2"/>
  <c r="Q444" i="2"/>
  <c r="R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S444" i="2"/>
  <c r="F442" i="2"/>
  <c r="H442" i="2"/>
  <c r="I442" i="2"/>
  <c r="K442" i="2"/>
  <c r="L442" i="2"/>
  <c r="M442" i="2"/>
  <c r="N442" i="2"/>
  <c r="P442" i="2"/>
  <c r="Q442" i="2"/>
  <c r="R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S442" i="2"/>
  <c r="E442" i="2"/>
  <c r="F440" i="2"/>
  <c r="H440" i="2"/>
  <c r="I440" i="2"/>
  <c r="K440" i="2"/>
  <c r="L440" i="2"/>
  <c r="M440" i="2"/>
  <c r="N440" i="2"/>
  <c r="P440" i="2"/>
  <c r="Q440" i="2"/>
  <c r="R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AF440" i="2"/>
  <c r="S440" i="2"/>
  <c r="E440" i="2"/>
  <c r="F435" i="2"/>
  <c r="H435" i="2"/>
  <c r="I435" i="2"/>
  <c r="K435" i="2"/>
  <c r="L435" i="2"/>
  <c r="M435" i="2"/>
  <c r="N435" i="2"/>
  <c r="P435" i="2"/>
  <c r="Q435" i="2"/>
  <c r="R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S435" i="2"/>
  <c r="E435" i="2"/>
  <c r="K415" i="2"/>
  <c r="L415" i="2"/>
  <c r="M415" i="2"/>
  <c r="N415" i="2"/>
  <c r="P415" i="2"/>
  <c r="Q415" i="2"/>
  <c r="R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S415" i="2"/>
  <c r="F412" i="2"/>
  <c r="H412" i="2"/>
  <c r="I412" i="2"/>
  <c r="K412" i="2"/>
  <c r="L412" i="2"/>
  <c r="M412" i="2"/>
  <c r="N412" i="2"/>
  <c r="P412" i="2"/>
  <c r="Q412" i="2"/>
  <c r="R412" i="2"/>
  <c r="T412" i="2"/>
  <c r="U412" i="2"/>
  <c r="V412" i="2"/>
  <c r="W412" i="2"/>
  <c r="X412" i="2"/>
  <c r="Y412" i="2"/>
  <c r="Z412" i="2"/>
  <c r="AA412" i="2"/>
  <c r="AB412" i="2"/>
  <c r="AC412" i="2"/>
  <c r="AD412" i="2"/>
  <c r="AE412" i="2"/>
  <c r="AF412" i="2"/>
  <c r="S412" i="2"/>
  <c r="E412" i="2"/>
  <c r="F409" i="2"/>
  <c r="H409" i="2"/>
  <c r="I409" i="2"/>
  <c r="K409" i="2"/>
  <c r="L409" i="2"/>
  <c r="M409" i="2"/>
  <c r="N409" i="2"/>
  <c r="P409" i="2"/>
  <c r="Q409" i="2"/>
  <c r="R409" i="2"/>
  <c r="T409" i="2"/>
  <c r="U409" i="2"/>
  <c r="V409" i="2"/>
  <c r="W409" i="2"/>
  <c r="X409" i="2"/>
  <c r="Y409" i="2"/>
  <c r="Z409" i="2"/>
  <c r="AA409" i="2"/>
  <c r="AB409" i="2"/>
  <c r="AC409" i="2"/>
  <c r="AD409" i="2"/>
  <c r="AE409" i="2"/>
  <c r="AF409" i="2"/>
  <c r="S409" i="2"/>
  <c r="E409" i="2"/>
  <c r="F406" i="2"/>
  <c r="H406" i="2"/>
  <c r="K406" i="2"/>
  <c r="L406" i="2"/>
  <c r="M406" i="2"/>
  <c r="N406" i="2"/>
  <c r="P406" i="2"/>
  <c r="Q406" i="2"/>
  <c r="R406" i="2"/>
  <c r="T406" i="2"/>
  <c r="U406" i="2"/>
  <c r="V406" i="2"/>
  <c r="W406" i="2"/>
  <c r="X406" i="2"/>
  <c r="Y406" i="2"/>
  <c r="Z406" i="2"/>
  <c r="AA406" i="2"/>
  <c r="AB406" i="2"/>
  <c r="AC406" i="2"/>
  <c r="AD406" i="2"/>
  <c r="AE406" i="2"/>
  <c r="AF406" i="2"/>
  <c r="S406" i="2"/>
  <c r="E406" i="2"/>
  <c r="F403" i="2"/>
  <c r="H403" i="2"/>
  <c r="I403" i="2"/>
  <c r="K403" i="2"/>
  <c r="L403" i="2"/>
  <c r="M403" i="2"/>
  <c r="N403" i="2"/>
  <c r="P403" i="2"/>
  <c r="Q403" i="2"/>
  <c r="R403" i="2"/>
  <c r="T403" i="2"/>
  <c r="U403" i="2"/>
  <c r="V403" i="2"/>
  <c r="W403" i="2"/>
  <c r="X403" i="2"/>
  <c r="Y403" i="2"/>
  <c r="Z403" i="2"/>
  <c r="AA403" i="2"/>
  <c r="AB403" i="2"/>
  <c r="AC403" i="2"/>
  <c r="AD403" i="2"/>
  <c r="AE403" i="2"/>
  <c r="AF403" i="2"/>
  <c r="S403" i="2"/>
  <c r="E403" i="2"/>
  <c r="F400" i="2"/>
  <c r="H400" i="2"/>
  <c r="I400" i="2"/>
  <c r="K400" i="2"/>
  <c r="L400" i="2"/>
  <c r="M400" i="2"/>
  <c r="N400" i="2"/>
  <c r="P400" i="2"/>
  <c r="Q400" i="2"/>
  <c r="R400" i="2"/>
  <c r="T400" i="2"/>
  <c r="U400" i="2"/>
  <c r="V400" i="2"/>
  <c r="W400" i="2"/>
  <c r="X400" i="2"/>
  <c r="Y400" i="2"/>
  <c r="Z400" i="2"/>
  <c r="AA400" i="2"/>
  <c r="AB400" i="2"/>
  <c r="AC400" i="2"/>
  <c r="AD400" i="2"/>
  <c r="AE400" i="2"/>
  <c r="AF400" i="2"/>
  <c r="S400" i="2"/>
  <c r="E400" i="2"/>
  <c r="F382" i="2"/>
  <c r="H382" i="2"/>
  <c r="I382" i="2"/>
  <c r="K382" i="2"/>
  <c r="L382" i="2"/>
  <c r="M382" i="2"/>
  <c r="N382" i="2"/>
  <c r="P382" i="2"/>
  <c r="Q382" i="2"/>
  <c r="R382" i="2"/>
  <c r="T382" i="2"/>
  <c r="U382" i="2"/>
  <c r="V382" i="2"/>
  <c r="W382" i="2"/>
  <c r="X382" i="2"/>
  <c r="Y382" i="2"/>
  <c r="Z382" i="2"/>
  <c r="AA382" i="2"/>
  <c r="AB382" i="2"/>
  <c r="AC382" i="2"/>
  <c r="AD382" i="2"/>
  <c r="AE382" i="2"/>
  <c r="AF382" i="2"/>
  <c r="S382" i="2"/>
  <c r="E382" i="2"/>
  <c r="K374" i="2"/>
  <c r="L374" i="2"/>
  <c r="M374" i="2"/>
  <c r="N374" i="2"/>
  <c r="P374" i="2"/>
  <c r="Q374" i="2"/>
  <c r="R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F374" i="2"/>
  <c r="S374" i="2"/>
  <c r="F361" i="2"/>
  <c r="H361" i="2"/>
  <c r="I361" i="2"/>
  <c r="K361" i="2"/>
  <c r="L361" i="2"/>
  <c r="M361" i="2"/>
  <c r="N361" i="2"/>
  <c r="P361" i="2"/>
  <c r="Q361" i="2"/>
  <c r="R361" i="2"/>
  <c r="T361" i="2"/>
  <c r="U361" i="2"/>
  <c r="V361" i="2"/>
  <c r="W361" i="2"/>
  <c r="X361" i="2"/>
  <c r="Y361" i="2"/>
  <c r="Z361" i="2"/>
  <c r="AA361" i="2"/>
  <c r="AB361" i="2"/>
  <c r="AC361" i="2"/>
  <c r="AD361" i="2"/>
  <c r="AE361" i="2"/>
  <c r="AF361" i="2"/>
  <c r="S361" i="2"/>
  <c r="E361" i="2"/>
  <c r="F357" i="2"/>
  <c r="H357" i="2"/>
  <c r="I357" i="2"/>
  <c r="K357" i="2"/>
  <c r="M357" i="2"/>
  <c r="N357" i="2"/>
  <c r="P357" i="2"/>
  <c r="Q357" i="2"/>
  <c r="R357" i="2"/>
  <c r="T357" i="2"/>
  <c r="U357" i="2"/>
  <c r="V357" i="2"/>
  <c r="W357" i="2"/>
  <c r="X357" i="2"/>
  <c r="Y357" i="2"/>
  <c r="Z357" i="2"/>
  <c r="AA357" i="2"/>
  <c r="AB357" i="2"/>
  <c r="AC357" i="2"/>
  <c r="AD357" i="2"/>
  <c r="AE357" i="2"/>
  <c r="AF357" i="2"/>
  <c r="S357" i="2"/>
  <c r="E357" i="2"/>
  <c r="I354" i="2"/>
  <c r="K354" i="2"/>
  <c r="M354" i="2"/>
  <c r="N354" i="2"/>
  <c r="P354" i="2"/>
  <c r="Q354" i="2"/>
  <c r="R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S354" i="2"/>
  <c r="K327" i="2"/>
  <c r="M327" i="2"/>
  <c r="N327" i="2"/>
  <c r="P327" i="2"/>
  <c r="Q327" i="2"/>
  <c r="R327" i="2"/>
  <c r="T327" i="2"/>
  <c r="V327" i="2"/>
  <c r="W327" i="2"/>
  <c r="X327" i="2"/>
  <c r="Y327" i="2"/>
  <c r="Z327" i="2"/>
  <c r="AA327" i="2"/>
  <c r="AB327" i="2"/>
  <c r="AC327" i="2"/>
  <c r="AD327" i="2"/>
  <c r="AE327" i="2"/>
  <c r="AF327" i="2"/>
  <c r="S327" i="2"/>
  <c r="S323" i="2"/>
  <c r="F323" i="2"/>
  <c r="H323" i="2"/>
  <c r="I323" i="2"/>
  <c r="K323" i="2"/>
  <c r="L323" i="2"/>
  <c r="M323" i="2"/>
  <c r="N323" i="2"/>
  <c r="P323" i="2"/>
  <c r="Q323" i="2"/>
  <c r="R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E323" i="2"/>
  <c r="K309" i="2"/>
  <c r="L309" i="2"/>
  <c r="M309" i="2"/>
  <c r="N309" i="2"/>
  <c r="P309" i="2"/>
  <c r="Q309" i="2"/>
  <c r="R309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F309" i="2"/>
  <c r="S309" i="2"/>
  <c r="K296" i="2"/>
  <c r="L296" i="2"/>
  <c r="M296" i="2"/>
  <c r="N296" i="2"/>
  <c r="P296" i="2"/>
  <c r="Q296" i="2"/>
  <c r="R296" i="2"/>
  <c r="T296" i="2"/>
  <c r="U296" i="2"/>
  <c r="V296" i="2"/>
  <c r="W296" i="2"/>
  <c r="X296" i="2"/>
  <c r="Y296" i="2"/>
  <c r="Z296" i="2"/>
  <c r="AA296" i="2"/>
  <c r="AB296" i="2"/>
  <c r="AC296" i="2"/>
  <c r="AD296" i="2"/>
  <c r="AE296" i="2"/>
  <c r="AF296" i="2"/>
  <c r="S296" i="2"/>
  <c r="K282" i="2"/>
  <c r="L282" i="2"/>
  <c r="M282" i="2"/>
  <c r="N282" i="2"/>
  <c r="P282" i="2"/>
  <c r="Q282" i="2"/>
  <c r="R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S282" i="2"/>
  <c r="F279" i="2"/>
  <c r="H279" i="2"/>
  <c r="I279" i="2"/>
  <c r="K279" i="2"/>
  <c r="L279" i="2"/>
  <c r="M279" i="2"/>
  <c r="N279" i="2"/>
  <c r="P279" i="2"/>
  <c r="Q279" i="2"/>
  <c r="R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S279" i="2"/>
  <c r="E279" i="2"/>
  <c r="F277" i="2"/>
  <c r="H277" i="2"/>
  <c r="K277" i="2"/>
  <c r="L277" i="2"/>
  <c r="M277" i="2"/>
  <c r="N277" i="2"/>
  <c r="P277" i="2"/>
  <c r="Q277" i="2"/>
  <c r="R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S277" i="2"/>
  <c r="E277" i="2"/>
  <c r="E212" i="2" s="1"/>
  <c r="K253" i="2"/>
  <c r="L253" i="2"/>
  <c r="M253" i="2"/>
  <c r="N253" i="2"/>
  <c r="P253" i="2"/>
  <c r="Q253" i="2"/>
  <c r="R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S253" i="2"/>
  <c r="K238" i="2"/>
  <c r="L238" i="2"/>
  <c r="M238" i="2"/>
  <c r="N238" i="2"/>
  <c r="P238" i="2"/>
  <c r="Q238" i="2"/>
  <c r="R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S238" i="2"/>
  <c r="K213" i="2"/>
  <c r="L213" i="2"/>
  <c r="M213" i="2"/>
  <c r="N213" i="2"/>
  <c r="P213" i="2"/>
  <c r="Q213" i="2"/>
  <c r="R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S213" i="2"/>
  <c r="F210" i="2"/>
  <c r="H210" i="2"/>
  <c r="I210" i="2"/>
  <c r="K210" i="2"/>
  <c r="L210" i="2"/>
  <c r="M210" i="2"/>
  <c r="N210" i="2"/>
  <c r="P210" i="2"/>
  <c r="Q210" i="2"/>
  <c r="R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S210" i="2"/>
  <c r="F207" i="2"/>
  <c r="H207" i="2"/>
  <c r="I207" i="2"/>
  <c r="K207" i="2"/>
  <c r="L207" i="2"/>
  <c r="M207" i="2"/>
  <c r="N207" i="2"/>
  <c r="P207" i="2"/>
  <c r="Q207" i="2"/>
  <c r="R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S207" i="2"/>
  <c r="E207" i="2"/>
  <c r="F205" i="2"/>
  <c r="H205" i="2"/>
  <c r="I205" i="2"/>
  <c r="K205" i="2"/>
  <c r="L205" i="2"/>
  <c r="M205" i="2"/>
  <c r="N205" i="2"/>
  <c r="P205" i="2"/>
  <c r="Q205" i="2"/>
  <c r="R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S205" i="2"/>
  <c r="E205" i="2"/>
  <c r="H200" i="2"/>
  <c r="K200" i="2"/>
  <c r="L200" i="2"/>
  <c r="M201" i="2"/>
  <c r="M200" i="2" s="1"/>
  <c r="N201" i="2"/>
  <c r="N200" i="2" s="1"/>
  <c r="P201" i="2"/>
  <c r="P200" i="2" s="1"/>
  <c r="Q200" i="2"/>
  <c r="R201" i="2"/>
  <c r="R200" i="2" s="1"/>
  <c r="T201" i="2"/>
  <c r="T200" i="2" s="1"/>
  <c r="U201" i="2"/>
  <c r="U200" i="2" s="1"/>
  <c r="V201" i="2"/>
  <c r="V200" i="2" s="1"/>
  <c r="W201" i="2"/>
  <c r="W200" i="2" s="1"/>
  <c r="X201" i="2"/>
  <c r="X200" i="2" s="1"/>
  <c r="Y201" i="2"/>
  <c r="Y200" i="2" s="1"/>
  <c r="Z201" i="2"/>
  <c r="Z200" i="2" s="1"/>
  <c r="AA201" i="2"/>
  <c r="AA200" i="2" s="1"/>
  <c r="AB201" i="2"/>
  <c r="AB200" i="2" s="1"/>
  <c r="AC201" i="2"/>
  <c r="AC200" i="2" s="1"/>
  <c r="AD201" i="2"/>
  <c r="AD200" i="2" s="1"/>
  <c r="AE201" i="2"/>
  <c r="AE200" i="2" s="1"/>
  <c r="AF201" i="2"/>
  <c r="AF200" i="2" s="1"/>
  <c r="S201" i="2"/>
  <c r="S200" i="2" s="1"/>
  <c r="E200" i="2"/>
  <c r="K195" i="2"/>
  <c r="L195" i="2"/>
  <c r="M195" i="2"/>
  <c r="N195" i="2"/>
  <c r="P195" i="2"/>
  <c r="Q195" i="2"/>
  <c r="R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S195" i="2"/>
  <c r="K189" i="2"/>
  <c r="L189" i="2"/>
  <c r="M189" i="2"/>
  <c r="N189" i="2"/>
  <c r="P189" i="2"/>
  <c r="Q189" i="2"/>
  <c r="R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S189" i="2"/>
  <c r="F165" i="2"/>
  <c r="H165" i="2"/>
  <c r="H162" i="2" s="1"/>
  <c r="I165" i="2"/>
  <c r="K165" i="2"/>
  <c r="L165" i="2"/>
  <c r="M165" i="2"/>
  <c r="N165" i="2"/>
  <c r="P165" i="2"/>
  <c r="Q165" i="2"/>
  <c r="R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S165" i="2"/>
  <c r="F153" i="2"/>
  <c r="H153" i="2"/>
  <c r="I153" i="2"/>
  <c r="K153" i="2"/>
  <c r="L153" i="2"/>
  <c r="M153" i="2"/>
  <c r="N153" i="2"/>
  <c r="P153" i="2"/>
  <c r="Q153" i="2"/>
  <c r="R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S153" i="2"/>
  <c r="F149" i="2"/>
  <c r="H149" i="2"/>
  <c r="I149" i="2"/>
  <c r="K149" i="2"/>
  <c r="L149" i="2"/>
  <c r="M149" i="2"/>
  <c r="N149" i="2"/>
  <c r="P149" i="2"/>
  <c r="Q149" i="2"/>
  <c r="R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S149" i="2"/>
  <c r="K142" i="2"/>
  <c r="L142" i="2"/>
  <c r="M142" i="2"/>
  <c r="N142" i="2"/>
  <c r="P142" i="2"/>
  <c r="Q142" i="2"/>
  <c r="R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S142" i="2"/>
  <c r="K123" i="2"/>
  <c r="L123" i="2"/>
  <c r="M123" i="2"/>
  <c r="N123" i="2"/>
  <c r="P123" i="2"/>
  <c r="Q123" i="2"/>
  <c r="R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S123" i="2"/>
  <c r="F117" i="2"/>
  <c r="H117" i="2"/>
  <c r="I117" i="2"/>
  <c r="K117" i="2"/>
  <c r="L117" i="2"/>
  <c r="M117" i="2"/>
  <c r="N117" i="2"/>
  <c r="P117" i="2"/>
  <c r="Q117" i="2"/>
  <c r="R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S117" i="2"/>
  <c r="H112" i="2"/>
  <c r="I112" i="2"/>
  <c r="K112" i="2"/>
  <c r="L112" i="2"/>
  <c r="M112" i="2"/>
  <c r="N112" i="2"/>
  <c r="P112" i="2"/>
  <c r="Q112" i="2"/>
  <c r="R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S112" i="2"/>
  <c r="K87" i="2"/>
  <c r="L87" i="2"/>
  <c r="M87" i="2"/>
  <c r="N87" i="2"/>
  <c r="P87" i="2"/>
  <c r="Q87" i="2"/>
  <c r="R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S87" i="2"/>
  <c r="H80" i="2"/>
  <c r="K80" i="2"/>
  <c r="L80" i="2"/>
  <c r="M80" i="2"/>
  <c r="N80" i="2"/>
  <c r="P80" i="2"/>
  <c r="Q80" i="2"/>
  <c r="R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S80" i="2"/>
  <c r="K73" i="2"/>
  <c r="L73" i="2"/>
  <c r="M73" i="2"/>
  <c r="N73" i="2"/>
  <c r="P73" i="2"/>
  <c r="Q73" i="2"/>
  <c r="R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S73" i="2"/>
  <c r="M67" i="2"/>
  <c r="P67" i="2"/>
  <c r="Q67" i="2"/>
  <c r="R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S67" i="2"/>
  <c r="F64" i="2"/>
  <c r="H64" i="2"/>
  <c r="I64" i="2"/>
  <c r="K64" i="2"/>
  <c r="L64" i="2"/>
  <c r="M64" i="2"/>
  <c r="N64" i="2"/>
  <c r="P64" i="2"/>
  <c r="Q64" i="2"/>
  <c r="R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S64" i="2"/>
  <c r="K50" i="2"/>
  <c r="M50" i="2"/>
  <c r="N50" i="2"/>
  <c r="P50" i="2"/>
  <c r="Q50" i="2"/>
  <c r="R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S50" i="2"/>
  <c r="H212" i="2" l="1"/>
  <c r="H530" i="2"/>
  <c r="E530" i="2"/>
  <c r="I530" i="2"/>
  <c r="F530" i="2"/>
  <c r="G530" i="2" s="1"/>
  <c r="F212" i="2"/>
  <c r="E148" i="2"/>
  <c r="I148" i="2"/>
  <c r="F148" i="2"/>
  <c r="H148" i="2"/>
  <c r="F353" i="2"/>
  <c r="S63" i="2"/>
  <c r="E162" i="2"/>
  <c r="F162" i="2"/>
  <c r="F72" i="2"/>
  <c r="H72" i="2"/>
  <c r="Y530" i="2"/>
  <c r="AC530" i="2"/>
  <c r="P530" i="2"/>
  <c r="AA530" i="2"/>
  <c r="H472" i="2"/>
  <c r="AE530" i="2"/>
  <c r="W530" i="2"/>
  <c r="R530" i="2"/>
  <c r="E472" i="2"/>
  <c r="F472" i="2"/>
  <c r="AC584" i="2"/>
  <c r="Y584" i="2"/>
  <c r="P584" i="2"/>
  <c r="K472" i="2"/>
  <c r="T472" i="2"/>
  <c r="I472" i="2"/>
  <c r="S584" i="2"/>
  <c r="S530" i="2"/>
  <c r="L530" i="2"/>
  <c r="K530" i="2"/>
  <c r="M530" i="2"/>
  <c r="E353" i="2"/>
  <c r="AF530" i="2"/>
  <c r="AB530" i="2"/>
  <c r="X530" i="2"/>
  <c r="T530" i="2"/>
  <c r="N530" i="2"/>
  <c r="U530" i="2"/>
  <c r="AF353" i="2"/>
  <c r="AB353" i="2"/>
  <c r="X353" i="2"/>
  <c r="T353" i="2"/>
  <c r="N353" i="2"/>
  <c r="E381" i="2"/>
  <c r="AD530" i="2"/>
  <c r="Z530" i="2"/>
  <c r="V530" i="2"/>
  <c r="Q530" i="2"/>
  <c r="S204" i="2"/>
  <c r="AC204" i="2"/>
  <c r="Y204" i="2"/>
  <c r="P204" i="2"/>
  <c r="AF212" i="2"/>
  <c r="AB212" i="2"/>
  <c r="T212" i="2"/>
  <c r="N212" i="2"/>
  <c r="AA454" i="2"/>
  <c r="AE454" i="2"/>
  <c r="X212" i="2"/>
  <c r="K584" i="2"/>
  <c r="K204" i="2"/>
  <c r="L353" i="2"/>
  <c r="Z63" i="2"/>
  <c r="AE148" i="2"/>
  <c r="AA148" i="2"/>
  <c r="W148" i="2"/>
  <c r="R148" i="2"/>
  <c r="M148" i="2"/>
  <c r="S381" i="2"/>
  <c r="AC381" i="2"/>
  <c r="Y381" i="2"/>
  <c r="P381" i="2"/>
  <c r="E454" i="2"/>
  <c r="AF620" i="2"/>
  <c r="AB620" i="2"/>
  <c r="X620" i="2"/>
  <c r="T620" i="2"/>
  <c r="N620" i="2"/>
  <c r="J64" i="2"/>
  <c r="S148" i="2"/>
  <c r="AC148" i="2"/>
  <c r="Y148" i="2"/>
  <c r="P148" i="2"/>
  <c r="K148" i="2"/>
  <c r="AE472" i="2"/>
  <c r="AA472" i="2"/>
  <c r="W472" i="2"/>
  <c r="R472" i="2"/>
  <c r="M472" i="2"/>
  <c r="AD620" i="2"/>
  <c r="Z620" i="2"/>
  <c r="V620" i="2"/>
  <c r="Q620" i="2"/>
  <c r="F620" i="2"/>
  <c r="E620" i="2"/>
  <c r="AE63" i="2"/>
  <c r="AA63" i="2"/>
  <c r="W63" i="2"/>
  <c r="R63" i="2"/>
  <c r="M63" i="2"/>
  <c r="H63" i="2"/>
  <c r="S72" i="2"/>
  <c r="AC72" i="2"/>
  <c r="Y72" i="2"/>
  <c r="P72" i="2"/>
  <c r="K72" i="2"/>
  <c r="E72" i="2"/>
  <c r="J149" i="2"/>
  <c r="AD162" i="2"/>
  <c r="Z162" i="2"/>
  <c r="V162" i="2"/>
  <c r="Q162" i="2"/>
  <c r="AE162" i="2"/>
  <c r="AA162" i="2"/>
  <c r="J189" i="2"/>
  <c r="K381" i="2"/>
  <c r="J403" i="2"/>
  <c r="J415" i="2"/>
  <c r="J444" i="2"/>
  <c r="J635" i="2"/>
  <c r="J73" i="2"/>
  <c r="J117" i="2"/>
  <c r="J354" i="2"/>
  <c r="W454" i="2"/>
  <c r="R454" i="2"/>
  <c r="M454" i="2"/>
  <c r="H454" i="2"/>
  <c r="J467" i="2"/>
  <c r="J511" i="2"/>
  <c r="J538" i="2"/>
  <c r="J561" i="2"/>
  <c r="J612" i="2"/>
  <c r="AC63" i="2"/>
  <c r="Y63" i="2"/>
  <c r="P63" i="2"/>
  <c r="K63" i="2"/>
  <c r="E63" i="2"/>
  <c r="AD63" i="2"/>
  <c r="V63" i="2"/>
  <c r="Q63" i="2"/>
  <c r="F63" i="2"/>
  <c r="AA72" i="2"/>
  <c r="W72" i="2"/>
  <c r="R72" i="2"/>
  <c r="M72" i="2"/>
  <c r="AF72" i="2"/>
  <c r="AB72" i="2"/>
  <c r="X72" i="2"/>
  <c r="T72" i="2"/>
  <c r="N72" i="2"/>
  <c r="AF162" i="2"/>
  <c r="AB162" i="2"/>
  <c r="X162" i="2"/>
  <c r="T162" i="2"/>
  <c r="J201" i="2"/>
  <c r="E204" i="2"/>
  <c r="S212" i="2"/>
  <c r="AC212" i="2"/>
  <c r="Y212" i="2"/>
  <c r="P212" i="2"/>
  <c r="K212" i="2"/>
  <c r="J296" i="2"/>
  <c r="G327" i="2"/>
  <c r="J470" i="2"/>
  <c r="J523" i="2"/>
  <c r="J550" i="2"/>
  <c r="J569" i="2"/>
  <c r="G50" i="2"/>
  <c r="AF63" i="2"/>
  <c r="AB63" i="2"/>
  <c r="X63" i="2"/>
  <c r="T63" i="2"/>
  <c r="N63" i="2"/>
  <c r="G87" i="2"/>
  <c r="G142" i="2"/>
  <c r="AF148" i="2"/>
  <c r="AB148" i="2"/>
  <c r="X148" i="2"/>
  <c r="T148" i="2"/>
  <c r="N148" i="2"/>
  <c r="G195" i="2"/>
  <c r="J80" i="2"/>
  <c r="Z72" i="2"/>
  <c r="Q72" i="2"/>
  <c r="J123" i="2"/>
  <c r="J153" i="2"/>
  <c r="J67" i="2"/>
  <c r="AE72" i="2"/>
  <c r="AD72" i="2"/>
  <c r="V72" i="2"/>
  <c r="J50" i="2"/>
  <c r="L63" i="2"/>
  <c r="G64" i="2"/>
  <c r="G73" i="2"/>
  <c r="J87" i="2"/>
  <c r="G117" i="2"/>
  <c r="AD148" i="2"/>
  <c r="Z148" i="2"/>
  <c r="V148" i="2"/>
  <c r="Q148" i="2"/>
  <c r="L148" i="2"/>
  <c r="G149" i="2"/>
  <c r="G67" i="2"/>
  <c r="G80" i="2"/>
  <c r="G123" i="2"/>
  <c r="G238" i="2"/>
  <c r="G279" i="2"/>
  <c r="G361" i="2"/>
  <c r="G409" i="2"/>
  <c r="G440" i="2"/>
  <c r="G525" i="2"/>
  <c r="G553" i="2"/>
  <c r="G590" i="2"/>
  <c r="W162" i="2"/>
  <c r="R162" i="2"/>
  <c r="M162" i="2"/>
  <c r="G210" i="2"/>
  <c r="J213" i="2"/>
  <c r="G253" i="2"/>
  <c r="G282" i="2"/>
  <c r="J309" i="2"/>
  <c r="J323" i="2"/>
  <c r="AE353" i="2"/>
  <c r="AA353" i="2"/>
  <c r="W353" i="2"/>
  <c r="R353" i="2"/>
  <c r="M353" i="2"/>
  <c r="H353" i="2"/>
  <c r="J357" i="2"/>
  <c r="G374" i="2"/>
  <c r="AF381" i="2"/>
  <c r="AB381" i="2"/>
  <c r="X381" i="2"/>
  <c r="N381" i="2"/>
  <c r="J382" i="2"/>
  <c r="G400" i="2"/>
  <c r="J406" i="2"/>
  <c r="G412" i="2"/>
  <c r="J435" i="2"/>
  <c r="G442" i="2"/>
  <c r="AD454" i="2"/>
  <c r="Z454" i="2"/>
  <c r="V454" i="2"/>
  <c r="Q454" i="2"/>
  <c r="AD472" i="2"/>
  <c r="Z472" i="2"/>
  <c r="V472" i="2"/>
  <c r="Q472" i="2"/>
  <c r="G507" i="2"/>
  <c r="G558" i="2"/>
  <c r="AF584" i="2"/>
  <c r="AB584" i="2"/>
  <c r="X584" i="2"/>
  <c r="T584" i="2"/>
  <c r="N584" i="2"/>
  <c r="J585" i="2"/>
  <c r="G602" i="2"/>
  <c r="G615" i="2"/>
  <c r="G473" i="2"/>
  <c r="G153" i="2"/>
  <c r="J195" i="2"/>
  <c r="G201" i="2"/>
  <c r="AE204" i="2"/>
  <c r="AA204" i="2"/>
  <c r="W204" i="2"/>
  <c r="R204" i="2"/>
  <c r="M204" i="2"/>
  <c r="H204" i="2"/>
  <c r="AE212" i="2"/>
  <c r="AA212" i="2"/>
  <c r="W212" i="2"/>
  <c r="R212" i="2"/>
  <c r="M212" i="2"/>
  <c r="J238" i="2"/>
  <c r="J279" i="2"/>
  <c r="G296" i="2"/>
  <c r="J327" i="2"/>
  <c r="AD353" i="2"/>
  <c r="Z353" i="2"/>
  <c r="V353" i="2"/>
  <c r="Q353" i="2"/>
  <c r="G354" i="2"/>
  <c r="J361" i="2"/>
  <c r="AE381" i="2"/>
  <c r="AA381" i="2"/>
  <c r="W381" i="2"/>
  <c r="R381" i="2"/>
  <c r="M381" i="2"/>
  <c r="H381" i="2"/>
  <c r="G403" i="2"/>
  <c r="J409" i="2"/>
  <c r="G415" i="2"/>
  <c r="J440" i="2"/>
  <c r="G444" i="2"/>
  <c r="S454" i="2"/>
  <c r="G467" i="2"/>
  <c r="S472" i="2"/>
  <c r="AC472" i="2"/>
  <c r="Y472" i="2"/>
  <c r="P472" i="2"/>
  <c r="G511" i="2"/>
  <c r="J525" i="2"/>
  <c r="G538" i="2"/>
  <c r="J553" i="2"/>
  <c r="G561" i="2"/>
  <c r="AE584" i="2"/>
  <c r="AA584" i="2"/>
  <c r="W584" i="2"/>
  <c r="R584" i="2"/>
  <c r="M584" i="2"/>
  <c r="J590" i="2"/>
  <c r="N162" i="2"/>
  <c r="S162" i="2"/>
  <c r="AC162" i="2"/>
  <c r="Y162" i="2"/>
  <c r="P162" i="2"/>
  <c r="K162" i="2"/>
  <c r="G189" i="2"/>
  <c r="AD204" i="2"/>
  <c r="Z204" i="2"/>
  <c r="V204" i="2"/>
  <c r="Q204" i="2"/>
  <c r="AF204" i="2"/>
  <c r="AB204" i="2"/>
  <c r="X204" i="2"/>
  <c r="T204" i="2"/>
  <c r="N204" i="2"/>
  <c r="J210" i="2"/>
  <c r="AD212" i="2"/>
  <c r="Z212" i="2"/>
  <c r="V212" i="2"/>
  <c r="Q212" i="2"/>
  <c r="G213" i="2"/>
  <c r="J253" i="2"/>
  <c r="G277" i="2"/>
  <c r="J282" i="2"/>
  <c r="G309" i="2"/>
  <c r="G323" i="2"/>
  <c r="S353" i="2"/>
  <c r="AC353" i="2"/>
  <c r="Y353" i="2"/>
  <c r="P353" i="2"/>
  <c r="K353" i="2"/>
  <c r="G357" i="2"/>
  <c r="J374" i="2"/>
  <c r="AD381" i="2"/>
  <c r="Z381" i="2"/>
  <c r="V381" i="2"/>
  <c r="G382" i="2"/>
  <c r="J400" i="2"/>
  <c r="G406" i="2"/>
  <c r="J412" i="2"/>
  <c r="G435" i="2"/>
  <c r="J442" i="2"/>
  <c r="G470" i="2"/>
  <c r="AF472" i="2"/>
  <c r="K469" i="2" s="1"/>
  <c r="AB472" i="2"/>
  <c r="X472" i="2"/>
  <c r="N472" i="2"/>
  <c r="G523" i="2"/>
  <c r="G550" i="2"/>
  <c r="J558" i="2"/>
  <c r="G569" i="2"/>
  <c r="AD584" i="2"/>
  <c r="Z584" i="2"/>
  <c r="V584" i="2"/>
  <c r="Q584" i="2"/>
  <c r="G585" i="2"/>
  <c r="J602" i="2"/>
  <c r="G612" i="2"/>
  <c r="J615" i="2"/>
  <c r="S620" i="2"/>
  <c r="AC620" i="2"/>
  <c r="Y620" i="2"/>
  <c r="P620" i="2"/>
  <c r="G635" i="2"/>
  <c r="J473" i="2"/>
  <c r="U63" i="2"/>
  <c r="U72" i="2"/>
  <c r="U148" i="2"/>
  <c r="U162" i="2"/>
  <c r="U204" i="2"/>
  <c r="U353" i="2"/>
  <c r="U381" i="2"/>
  <c r="U472" i="2"/>
  <c r="U584" i="2"/>
  <c r="U620" i="2"/>
  <c r="L620" i="2"/>
  <c r="L584" i="2"/>
  <c r="L472" i="2"/>
  <c r="L454" i="2"/>
  <c r="L381" i="2"/>
  <c r="L212" i="2"/>
  <c r="L204" i="2"/>
  <c r="L162" i="2"/>
  <c r="L72" i="2"/>
  <c r="Q381" i="2"/>
  <c r="T381" i="2"/>
  <c r="I204" i="2"/>
  <c r="I200" i="2"/>
  <c r="J200" i="2" s="1"/>
  <c r="F454" i="2"/>
  <c r="G455" i="2"/>
  <c r="F204" i="2"/>
  <c r="F381" i="2"/>
  <c r="AC454" i="2"/>
  <c r="Y454" i="2"/>
  <c r="U454" i="2"/>
  <c r="P454" i="2"/>
  <c r="K454" i="2"/>
  <c r="I381" i="2"/>
  <c r="I63" i="2"/>
  <c r="J63" i="2" s="1"/>
  <c r="F200" i="2"/>
  <c r="G200" i="2" s="1"/>
  <c r="I353" i="2"/>
  <c r="AF454" i="2"/>
  <c r="AB454" i="2"/>
  <c r="X454" i="2"/>
  <c r="T454" i="2"/>
  <c r="N454" i="2"/>
  <c r="J455" i="2"/>
  <c r="I454" i="2"/>
  <c r="J507" i="2"/>
  <c r="F48" i="2"/>
  <c r="H48" i="2"/>
  <c r="H47" i="2" s="1"/>
  <c r="I48" i="2"/>
  <c r="K48" i="2"/>
  <c r="K47" i="2" s="1"/>
  <c r="L48" i="2"/>
  <c r="L47" i="2" s="1"/>
  <c r="M48" i="2"/>
  <c r="M47" i="2" s="1"/>
  <c r="N48" i="2"/>
  <c r="N47" i="2" s="1"/>
  <c r="P48" i="2"/>
  <c r="P47" i="2" s="1"/>
  <c r="Q48" i="2"/>
  <c r="Q47" i="2" s="1"/>
  <c r="R48" i="2"/>
  <c r="R47" i="2" s="1"/>
  <c r="T48" i="2"/>
  <c r="T47" i="2" s="1"/>
  <c r="U48" i="2"/>
  <c r="U47" i="2" s="1"/>
  <c r="V48" i="2"/>
  <c r="V47" i="2" s="1"/>
  <c r="W48" i="2"/>
  <c r="W47" i="2" s="1"/>
  <c r="X48" i="2"/>
  <c r="X47" i="2" s="1"/>
  <c r="Y48" i="2"/>
  <c r="Y47" i="2" s="1"/>
  <c r="Z48" i="2"/>
  <c r="Z47" i="2" s="1"/>
  <c r="AA48" i="2"/>
  <c r="AA47" i="2" s="1"/>
  <c r="AB48" i="2"/>
  <c r="AB47" i="2" s="1"/>
  <c r="AC48" i="2"/>
  <c r="AC47" i="2" s="1"/>
  <c r="AD48" i="2"/>
  <c r="AD47" i="2" s="1"/>
  <c r="AE48" i="2"/>
  <c r="AE47" i="2" s="1"/>
  <c r="AF48" i="2"/>
  <c r="AF47" i="2" s="1"/>
  <c r="S48" i="2"/>
  <c r="S47" i="2" s="1"/>
  <c r="H42" i="2"/>
  <c r="K43" i="2"/>
  <c r="K42" i="2" s="1"/>
  <c r="L43" i="2"/>
  <c r="L42" i="2" s="1"/>
  <c r="M42" i="2"/>
  <c r="N43" i="2"/>
  <c r="N42" i="2" s="1"/>
  <c r="P43" i="2"/>
  <c r="P42" i="2" s="1"/>
  <c r="Q43" i="2"/>
  <c r="Q42" i="2" s="1"/>
  <c r="R43" i="2"/>
  <c r="R42" i="2" s="1"/>
  <c r="T43" i="2"/>
  <c r="T42" i="2" s="1"/>
  <c r="U43" i="2"/>
  <c r="U42" i="2" s="1"/>
  <c r="V43" i="2"/>
  <c r="V42" i="2" s="1"/>
  <c r="W43" i="2"/>
  <c r="W42" i="2" s="1"/>
  <c r="X43" i="2"/>
  <c r="X42" i="2" s="1"/>
  <c r="Y43" i="2"/>
  <c r="Y42" i="2" s="1"/>
  <c r="Z43" i="2"/>
  <c r="Z42" i="2" s="1"/>
  <c r="AA43" i="2"/>
  <c r="AA42" i="2" s="1"/>
  <c r="AB43" i="2"/>
  <c r="AB42" i="2" s="1"/>
  <c r="AC43" i="2"/>
  <c r="AC42" i="2" s="1"/>
  <c r="AD43" i="2"/>
  <c r="AD42" i="2" s="1"/>
  <c r="AE43" i="2"/>
  <c r="AE42" i="2" s="1"/>
  <c r="AF43" i="2"/>
  <c r="AF42" i="2" s="1"/>
  <c r="S43" i="2"/>
  <c r="S42" i="2" s="1"/>
  <c r="F28" i="2"/>
  <c r="H28" i="2"/>
  <c r="I28" i="2"/>
  <c r="K28" i="2"/>
  <c r="L28" i="2"/>
  <c r="M28" i="2"/>
  <c r="N28" i="2"/>
  <c r="P28" i="2"/>
  <c r="Q28" i="2"/>
  <c r="R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S28" i="2"/>
  <c r="F32" i="2"/>
  <c r="H32" i="2"/>
  <c r="I32" i="2"/>
  <c r="K32" i="2"/>
  <c r="L32" i="2"/>
  <c r="M32" i="2"/>
  <c r="N32" i="2"/>
  <c r="P32" i="2"/>
  <c r="Q32" i="2"/>
  <c r="R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S32" i="2"/>
  <c r="F34" i="2"/>
  <c r="H34" i="2"/>
  <c r="I34" i="2"/>
  <c r="K34" i="2"/>
  <c r="L34" i="2"/>
  <c r="M34" i="2"/>
  <c r="N34" i="2"/>
  <c r="P34" i="2"/>
  <c r="Q34" i="2"/>
  <c r="R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S34" i="2"/>
  <c r="M36" i="2"/>
  <c r="P36" i="2"/>
  <c r="Q36" i="2"/>
  <c r="R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S36" i="2"/>
  <c r="H20" i="2"/>
  <c r="H19" i="2" s="1"/>
  <c r="I20" i="2"/>
  <c r="K19" i="2"/>
  <c r="L20" i="2"/>
  <c r="L19" i="2" s="1"/>
  <c r="M20" i="2"/>
  <c r="M19" i="2" s="1"/>
  <c r="N20" i="2"/>
  <c r="N19" i="2" s="1"/>
  <c r="P20" i="2"/>
  <c r="P19" i="2" s="1"/>
  <c r="Q20" i="2"/>
  <c r="Q19" i="2" s="1"/>
  <c r="R20" i="2"/>
  <c r="R19" i="2" s="1"/>
  <c r="T20" i="2"/>
  <c r="T19" i="2" s="1"/>
  <c r="U20" i="2"/>
  <c r="U19" i="2" s="1"/>
  <c r="V20" i="2"/>
  <c r="V19" i="2" s="1"/>
  <c r="W20" i="2"/>
  <c r="W19" i="2" s="1"/>
  <c r="X20" i="2"/>
  <c r="X19" i="2" s="1"/>
  <c r="Y20" i="2"/>
  <c r="Y19" i="2" s="1"/>
  <c r="Z20" i="2"/>
  <c r="Z19" i="2" s="1"/>
  <c r="AA20" i="2"/>
  <c r="AA19" i="2" s="1"/>
  <c r="AB20" i="2"/>
  <c r="AB19" i="2" s="1"/>
  <c r="AC20" i="2"/>
  <c r="AC19" i="2" s="1"/>
  <c r="AD20" i="2"/>
  <c r="AD19" i="2" s="1"/>
  <c r="AE20" i="2"/>
  <c r="AE19" i="2" s="1"/>
  <c r="AF20" i="2"/>
  <c r="AF19" i="2" s="1"/>
  <c r="S20" i="2"/>
  <c r="S19" i="2" s="1"/>
  <c r="E19" i="2"/>
  <c r="K11" i="2"/>
  <c r="L11" i="2"/>
  <c r="M11" i="2"/>
  <c r="N11" i="2"/>
  <c r="P11" i="2"/>
  <c r="Q11" i="2"/>
  <c r="R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S11" i="2"/>
  <c r="F9" i="2"/>
  <c r="H9" i="2"/>
  <c r="I9" i="2"/>
  <c r="K9" i="2"/>
  <c r="L9" i="2"/>
  <c r="M9" i="2"/>
  <c r="N9" i="2"/>
  <c r="P9" i="2"/>
  <c r="Q9" i="2"/>
  <c r="R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S9" i="2"/>
  <c r="F5" i="2"/>
  <c r="H5" i="2"/>
  <c r="I5" i="2"/>
  <c r="K5" i="2"/>
  <c r="L5" i="2"/>
  <c r="M5" i="2"/>
  <c r="N5" i="2"/>
  <c r="P5" i="2"/>
  <c r="Q5" i="2"/>
  <c r="R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S5" i="2"/>
  <c r="J530" i="2" l="1"/>
  <c r="G204" i="2"/>
  <c r="J204" i="2"/>
  <c r="F4" i="2"/>
  <c r="G148" i="2"/>
  <c r="J584" i="2"/>
  <c r="J148" i="2"/>
  <c r="G63" i="2"/>
  <c r="G584" i="2"/>
  <c r="G381" i="2"/>
  <c r="E4" i="2"/>
  <c r="I4" i="2"/>
  <c r="G454" i="2"/>
  <c r="G212" i="2"/>
  <c r="J381" i="2"/>
  <c r="J454" i="2"/>
  <c r="G162" i="2"/>
  <c r="G72" i="2"/>
  <c r="AE4" i="2"/>
  <c r="AA4" i="2"/>
  <c r="W4" i="2"/>
  <c r="R4" i="2"/>
  <c r="G620" i="2"/>
  <c r="J353" i="2"/>
  <c r="G353" i="2"/>
  <c r="Z4" i="2"/>
  <c r="V4" i="2"/>
  <c r="Q4" i="2"/>
  <c r="E27" i="2"/>
  <c r="AD4" i="2"/>
  <c r="M4" i="2"/>
  <c r="H4" i="2"/>
  <c r="AF4" i="2"/>
  <c r="AB4" i="2"/>
  <c r="X4" i="2"/>
  <c r="T4" i="2"/>
  <c r="N4" i="2"/>
  <c r="AD27" i="2"/>
  <c r="AD643" i="2" s="1"/>
  <c r="Z27" i="2"/>
  <c r="V27" i="2"/>
  <c r="Q27" i="2"/>
  <c r="J5" i="2"/>
  <c r="J9" i="2"/>
  <c r="G20" i="2"/>
  <c r="G36" i="2"/>
  <c r="G32" i="2"/>
  <c r="G28" i="2"/>
  <c r="G5" i="2"/>
  <c r="J11" i="2"/>
  <c r="S27" i="2"/>
  <c r="AC27" i="2"/>
  <c r="Y27" i="2"/>
  <c r="P27" i="2"/>
  <c r="K27" i="2"/>
  <c r="J43" i="2"/>
  <c r="S4" i="2"/>
  <c r="AC4" i="2"/>
  <c r="Y4" i="2"/>
  <c r="P4" i="2"/>
  <c r="K4" i="2"/>
  <c r="G9" i="2"/>
  <c r="J20" i="2"/>
  <c r="J36" i="2"/>
  <c r="AF27" i="2"/>
  <c r="AB27" i="2"/>
  <c r="X27" i="2"/>
  <c r="T27" i="2"/>
  <c r="N27" i="2"/>
  <c r="J32" i="2"/>
  <c r="J28" i="2"/>
  <c r="F27" i="2"/>
  <c r="I42" i="2"/>
  <c r="J42" i="2" s="1"/>
  <c r="J620" i="2"/>
  <c r="G11" i="2"/>
  <c r="AE27" i="2"/>
  <c r="AA27" i="2"/>
  <c r="W27" i="2"/>
  <c r="R27" i="2"/>
  <c r="M27" i="2"/>
  <c r="H27" i="2"/>
  <c r="H643" i="2" s="1"/>
  <c r="G43" i="2"/>
  <c r="F42" i="2"/>
  <c r="G42" i="2" s="1"/>
  <c r="U4" i="2"/>
  <c r="U27" i="2"/>
  <c r="L27" i="2"/>
  <c r="L4" i="2"/>
  <c r="G472" i="2"/>
  <c r="J472" i="2"/>
  <c r="I19" i="2"/>
  <c r="J19" i="2" s="1"/>
  <c r="J48" i="2"/>
  <c r="I47" i="2"/>
  <c r="J47" i="2" s="1"/>
  <c r="I27" i="2"/>
  <c r="F19" i="2"/>
  <c r="G19" i="2" s="1"/>
  <c r="G48" i="2"/>
  <c r="F47" i="2"/>
  <c r="G47" i="2" s="1"/>
  <c r="U327" i="2"/>
  <c r="U212" i="2" s="1"/>
  <c r="E643" i="2" l="1"/>
  <c r="F643" i="2"/>
  <c r="R643" i="2"/>
  <c r="AA643" i="2"/>
  <c r="AF643" i="2"/>
  <c r="X643" i="2"/>
  <c r="V643" i="2"/>
  <c r="Z643" i="2"/>
  <c r="N643" i="2"/>
  <c r="J4" i="2"/>
  <c r="AE643" i="2"/>
  <c r="W643" i="2"/>
  <c r="Q643" i="2"/>
  <c r="M643" i="2"/>
  <c r="G27" i="2"/>
  <c r="T643" i="2"/>
  <c r="S643" i="2"/>
  <c r="P643" i="2"/>
  <c r="J27" i="2"/>
  <c r="G4" i="2"/>
  <c r="AC643" i="2"/>
  <c r="U643" i="2"/>
  <c r="Y643" i="2"/>
  <c r="AB643" i="2"/>
  <c r="L643" i="2"/>
  <c r="G643" i="2" l="1"/>
  <c r="K621" i="2"/>
  <c r="K620" i="2" s="1"/>
  <c r="K643" i="2" s="1"/>
  <c r="I72" i="2" l="1"/>
  <c r="J143" i="2"/>
  <c r="J142" i="2" l="1"/>
  <c r="J72" i="2"/>
  <c r="J169" i="2"/>
  <c r="J177" i="2"/>
  <c r="J171" i="2"/>
  <c r="J182" i="2"/>
  <c r="J181" i="2"/>
  <c r="J179" i="2"/>
  <c r="J180" i="2"/>
  <c r="J170" i="2"/>
  <c r="J174" i="2"/>
  <c r="J173" i="2"/>
  <c r="J175" i="2"/>
  <c r="I162" i="2"/>
  <c r="J162" i="2" l="1"/>
  <c r="J168" i="2"/>
  <c r="I277" i="2"/>
  <c r="I212" i="2" s="1"/>
  <c r="I643" i="2" s="1"/>
  <c r="J278" i="2"/>
  <c r="J277" i="2" l="1"/>
  <c r="J212" i="2"/>
  <c r="J643" i="2" l="1"/>
</calcChain>
</file>

<file path=xl/sharedStrings.xml><?xml version="1.0" encoding="utf-8"?>
<sst xmlns="http://schemas.openxmlformats.org/spreadsheetml/2006/main" count="1314" uniqueCount="388">
  <si>
    <t>Dział</t>
  </si>
  <si>
    <t>Rozdział</t>
  </si>
  <si>
    <t>Paragraf</t>
  </si>
  <si>
    <t>Treść</t>
  </si>
  <si>
    <t>010</t>
  </si>
  <si>
    <t>Rolnictwo i łowiectwo</t>
  </si>
  <si>
    <t>0,00</t>
  </si>
  <si>
    <t>2710</t>
  </si>
  <si>
    <t>6300</t>
  </si>
  <si>
    <t>01095</t>
  </si>
  <si>
    <t>Pozostała działalność</t>
  </si>
  <si>
    <t>050</t>
  </si>
  <si>
    <t>Rybołówstwo i rybactwo</t>
  </si>
  <si>
    <t>05095</t>
  </si>
  <si>
    <t>600</t>
  </si>
  <si>
    <t>Transport i łączność</t>
  </si>
  <si>
    <t>60013</t>
  </si>
  <si>
    <t>Drogi publiczne wojewódzkie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</si>
  <si>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</si>
  <si>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</si>
  <si>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</si>
  <si>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</si>
  <si>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</si>
  <si>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</si>
  <si>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</si>
  <si>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</si>
  <si>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</si>
  <si>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</si>
  <si>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</si>
  <si>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</si>
  <si>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</si>
  <si>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</si>
  <si>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</si>
  <si>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</si>
  <si>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</si>
  <si>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</si>
  <si>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</si>
  <si>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</si>
  <si>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758</t>
  </si>
  <si>
    <t>Różne rozliczenia</t>
  </si>
  <si>
    <t>75801</t>
  </si>
  <si>
    <t>Część oświatowa subwencji ogólnej dla jednostek samorządu terytorialnego</t>
  </si>
  <si>
    <t>75814</t>
  </si>
  <si>
    <t>Różne rozliczenia finansowe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</si>
  <si>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</si>
  <si>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</si>
  <si>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</si>
  <si>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</si>
  <si>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</si>
  <si>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</si>
  <si>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</si>
  <si>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</si>
  <si>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2310</t>
  </si>
  <si>
    <t>80148</t>
  </si>
  <si>
    <t>Stołówki szkolne i przedszkolne</t>
  </si>
  <si>
    <t>80153</t>
  </si>
  <si>
    <t>Zapewnienie uczniom prawa do bezpłatnego dostępu do podręczników, materiałów edukacyjnych lub materiałów ćwiczeniowych</t>
  </si>
  <si>
    <t>80195</t>
  </si>
  <si>
    <t>2007</t>
  </si>
  <si>
    <t>2009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</si>
  <si>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</si>
  <si>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</si>
  <si>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</si>
  <si>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</si>
  <si>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</si>
  <si>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</si>
  <si>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</si>
  <si>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</si>
  <si>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</si>
  <si>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</si>
  <si>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</si>
  <si>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</si>
  <si>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</si>
  <si>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</si>
  <si>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</si>
  <si>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</si>
  <si>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</si>
  <si>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2360</t>
  </si>
  <si>
    <t>85230</t>
  </si>
  <si>
    <t>Pomoc w zakresie dożywiania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</si>
  <si>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</si>
  <si>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</si>
  <si>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</si>
  <si>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</si>
  <si>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</si>
  <si>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</si>
  <si>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</si>
  <si>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</si>
  <si>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</si>
  <si>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</si>
  <si>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</si>
  <si>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</si>
  <si>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</si>
  <si>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</si>
  <si>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</si>
  <si>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</si>
  <si>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</si>
  <si>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</si>
  <si>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</si>
  <si>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</si>
  <si>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</si>
  <si>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</si>
  <si>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</si>
  <si>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</si>
  <si>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</si>
  <si>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</si>
  <si>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</si>
  <si>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Razem:</t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</si>
  <si>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</si>
  <si>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</si>
  <si>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</si>
  <si>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</si>
  <si>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</si>
  <si>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</si>
  <si>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</si>
  <si>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</si>
  <si>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</si>
  <si>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</si>
  <si>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</si>
  <si>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</si>
  <si>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</si>
  <si>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</si>
  <si>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</si>
  <si>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</si>
  <si>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</si>
  <si>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</si>
  <si>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</si>
  <si>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</si>
  <si>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4170</t>
  </si>
  <si>
    <t>Wynagrodzenia bezosobowe</t>
  </si>
  <si>
    <t>4260</t>
  </si>
  <si>
    <t>Zakup energii</t>
  </si>
  <si>
    <t>60004</t>
  </si>
  <si>
    <t>Lokalny transport zbiorowy</t>
  </si>
  <si>
    <t>Dotacje celowe przekazane gminie na zadania bieżące realizowane na podstawie porozumień (umów) między jednostkami samorządu terytorialnego</t>
  </si>
  <si>
    <t>2820</t>
  </si>
  <si>
    <t>Dotacja celowa z budżetu na finansowanie lub dofinansowanie zadań zleconych do realizacji stowarzyszeniom</t>
  </si>
  <si>
    <t>60014</t>
  </si>
  <si>
    <t>Drogi publiczne powiatowe</t>
  </si>
  <si>
    <t>Dotacja celowa na pomoc finansową udzielaną między jednostkami samorządu terytorialnego na dofinansowanie własnych zadań inwestycyjnych i zakupów inwestycyjnych</t>
  </si>
  <si>
    <t>4270</t>
  </si>
  <si>
    <t>Zakup usług remontowych</t>
  </si>
  <si>
    <t>6050</t>
  </si>
  <si>
    <t>Wydatki inwestycyjne jednostek budżetowych</t>
  </si>
  <si>
    <t>630</t>
  </si>
  <si>
    <t>Turystyka</t>
  </si>
  <si>
    <t>63095</t>
  </si>
  <si>
    <t>4360</t>
  </si>
  <si>
    <t>Opłaty z tytułu zakupu usług telekomunikacyjnych</t>
  </si>
  <si>
    <t>6060</t>
  </si>
  <si>
    <t>Wydatki na zakupy inwestycyjne jednostek budżetowych</t>
  </si>
  <si>
    <t>70001</t>
  </si>
  <si>
    <t>Zakłady gospodarki mieszkaniowej</t>
  </si>
  <si>
    <t>2650</t>
  </si>
  <si>
    <t>Dotacja przedmiotowa z budżetu dla samorządowego zakładu budżetowego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</si>
  <si>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</si>
  <si>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</si>
  <si>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</si>
  <si>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</si>
  <si>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</si>
  <si>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</si>
  <si>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</si>
  <si>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</si>
  <si>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</si>
  <si>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</si>
  <si>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</si>
  <si>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</si>
  <si>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</si>
  <si>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</si>
  <si>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71035</t>
  </si>
  <si>
    <t>Cmentarze</t>
  </si>
  <si>
    <t>3020</t>
  </si>
  <si>
    <t>Wydatki osobowe niezaliczone do wynagrodzeń</t>
  </si>
  <si>
    <t>4040</t>
  </si>
  <si>
    <t>Dodatkowe wynagrodzenie roczne</t>
  </si>
  <si>
    <t>75022</t>
  </si>
  <si>
    <t>Rady gmin (miast i miast na prawach powiatu)</t>
  </si>
  <si>
    <t>3030</t>
  </si>
  <si>
    <t xml:space="preserve">Różne wydatki na rzecz osób fizycznych </t>
  </si>
  <si>
    <t>4190</t>
  </si>
  <si>
    <t>Nagrody konkursowe</t>
  </si>
  <si>
    <t>4420</t>
  </si>
  <si>
    <t>Podróże służbowe zagraniczne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</si>
  <si>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</si>
  <si>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</si>
  <si>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</si>
  <si>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</si>
  <si>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</si>
  <si>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</si>
  <si>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</si>
  <si>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</si>
  <si>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</si>
  <si>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</si>
  <si>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</si>
  <si>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</si>
  <si>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</si>
  <si>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</si>
  <si>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</si>
  <si>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</si>
  <si>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</si>
  <si>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</si>
  <si>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</si>
  <si>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</si>
  <si>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</si>
  <si>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75411</t>
  </si>
  <si>
    <t>Komendy powiatowe Państwowej Straży Pożarnej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</si>
  <si>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</si>
  <si>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</si>
  <si>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</si>
  <si>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</si>
  <si>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6230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</si>
  <si>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</si>
  <si>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</si>
  <si>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</si>
  <si>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75415</t>
  </si>
  <si>
    <t>Zadania ratownictwa górskiego i wodnego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</si>
  <si>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</si>
  <si>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</si>
  <si>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</si>
  <si>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</si>
  <si>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</si>
  <si>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</si>
  <si>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</si>
  <si>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</si>
  <si>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</si>
  <si>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2940</t>
  </si>
  <si>
    <t>Zwrot do budżetu państwa nienależnie pobranej subwencji ogólnej za lata poprzednie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</si>
  <si>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</si>
  <si>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</si>
  <si>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</si>
  <si>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</si>
  <si>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</si>
  <si>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</si>
  <si>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</si>
  <si>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</si>
  <si>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</si>
  <si>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</si>
  <si>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</si>
  <si>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Dotacja podmiotowa z budżetu dla niepublicznej jednostki systemu oświaty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</si>
  <si>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</si>
  <si>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</si>
  <si>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</si>
  <si>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</si>
  <si>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</si>
  <si>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</si>
  <si>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</si>
  <si>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</si>
  <si>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</si>
  <si>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</si>
  <si>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</si>
  <si>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</si>
  <si>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</si>
  <si>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Dotacja celowa na pomoc finansową udzielaną między jednostkami samorządu terytorialnego na dofinansowanie własnych zadań bieżących</t>
  </si>
  <si>
    <t>3247</t>
  </si>
  <si>
    <t>Stypendia dla uczniów</t>
  </si>
  <si>
    <t>3249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</si>
  <si>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</si>
  <si>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</si>
  <si>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</si>
  <si>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</si>
  <si>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</si>
  <si>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</si>
  <si>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</si>
  <si>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</si>
  <si>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</si>
  <si>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</si>
  <si>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4307</t>
  </si>
  <si>
    <t>4309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</si>
  <si>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</si>
  <si>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</si>
  <si>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</si>
  <si>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</si>
  <si>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</si>
  <si>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</si>
  <si>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</si>
  <si>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</si>
  <si>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</si>
  <si>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</si>
  <si>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85195</t>
  </si>
  <si>
    <t>85202</t>
  </si>
  <si>
    <t>Domy pomocy społecznej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</si>
  <si>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</si>
  <si>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</si>
  <si>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</si>
  <si>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</si>
  <si>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</si>
  <si>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</si>
  <si>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</si>
  <si>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85232</t>
  </si>
  <si>
    <t>Centra integracji społecznej</t>
  </si>
  <si>
    <t>85295</t>
  </si>
  <si>
    <t>4417</t>
  </si>
  <si>
    <t>4419</t>
  </si>
  <si>
    <t>4437</t>
  </si>
  <si>
    <t>85401</t>
  </si>
  <si>
    <t>Świetlice szkolne</t>
  </si>
  <si>
    <t>3240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</si>
  <si>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</si>
  <si>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</si>
  <si>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</si>
  <si>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</si>
  <si>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85508</t>
  </si>
  <si>
    <t>Rodziny zastępcze</t>
  </si>
  <si>
    <t>85510</t>
  </si>
  <si>
    <t>Działalność placówek opiekuńczo-wychowawczych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</si>
  <si>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</si>
  <si>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</si>
  <si>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</si>
  <si>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</si>
  <si>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</si>
  <si>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</si>
  <si>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</si>
  <si>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</si>
  <si>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90013</t>
  </si>
  <si>
    <t>Schroniska dla zwierząt</t>
  </si>
  <si>
    <t>90015</t>
  </si>
  <si>
    <t>Oświetlenie ulic, placów i dróg</t>
  </si>
  <si>
    <t>92105</t>
  </si>
  <si>
    <t>Pozostałe zadania w zakresie kultury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</si>
  <si>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</si>
  <si>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</si>
  <si>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</si>
  <si>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</si>
  <si>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</si>
  <si>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</si>
  <si>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6057</t>
  </si>
  <si>
    <t>6059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</si>
  <si>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</si>
  <si>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</si>
  <si>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</si>
  <si>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</si>
  <si>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</si>
  <si>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6058</t>
  </si>
  <si>
    <t>92695</t>
  </si>
  <si>
    <t>% wykonania</t>
  </si>
  <si>
    <t>Razem : Wydziały UM</t>
  </si>
  <si>
    <t>WGNiOŚ</t>
  </si>
  <si>
    <t>WOiSO</t>
  </si>
  <si>
    <t>WF</t>
  </si>
  <si>
    <t>Straż Miejska</t>
  </si>
  <si>
    <t>GOPS</t>
  </si>
  <si>
    <t>Razem jednostki oświatowe</t>
  </si>
  <si>
    <t>SP nr 3</t>
  </si>
  <si>
    <t>SP nr 2</t>
  </si>
  <si>
    <t>SP Gościejewo</t>
  </si>
  <si>
    <t>SP Parkowo</t>
  </si>
  <si>
    <t>SP Pruśce</t>
  </si>
  <si>
    <t>Sp Budziszewko</t>
  </si>
  <si>
    <t>Przedszkole nr 1</t>
  </si>
  <si>
    <t>Przedszkole nr 2</t>
  </si>
  <si>
    <t>Przedszkole Parkowo</t>
  </si>
  <si>
    <t>CUW</t>
  </si>
  <si>
    <t>Fundusz Sołecki</t>
  </si>
  <si>
    <t>90026</t>
  </si>
  <si>
    <t>Pozostałe działania zwizane z gospodarką odpadami</t>
  </si>
  <si>
    <t>Rózne opłaty i składki</t>
  </si>
  <si>
    <t>85513</t>
  </si>
  <si>
    <t>Składki na ubezpieczenie zdrowotne opłacane za osoby pobierające niektóre świadczenia świadczenia rodzinne, zgodnie z przepisami ustawy o świadczeniach rozdzinnych oraz za osoby pobierające zasiłki dla opiekunów, zgodnie z przepisami ustawy z dnia 4 kwietnia 2014 r. o ustaleniu i wypłacie zasiłków dla opiekunów</t>
  </si>
  <si>
    <t>8090</t>
  </si>
  <si>
    <t>Koszty emisji samorządowych papierów wartościowych orz inne opłaty i prowizje</t>
  </si>
  <si>
    <t>2957</t>
  </si>
  <si>
    <t>2959</t>
  </si>
  <si>
    <t>Zwrot niewykorzystanych dotacji oraz płatności</t>
  </si>
  <si>
    <t>3260</t>
  </si>
  <si>
    <t xml:space="preserve">ŚDS </t>
  </si>
  <si>
    <t>WRG</t>
  </si>
  <si>
    <t>WOPiK</t>
  </si>
  <si>
    <t>Plan obowiązujący na dzień: 
30.09.2020 roku</t>
  </si>
  <si>
    <t>Wykonanie
 na dzień:
30-09-2020r.</t>
  </si>
  <si>
    <t>Przewidywane wykonanie wydatków na koniec 2020 roku</t>
  </si>
  <si>
    <t>Plan 
na 2021 rok</t>
  </si>
  <si>
    <t>% wskaźnik
wzrostu/
spadku 
do planu 
2020 roku</t>
  </si>
  <si>
    <t>Załacznik nr 2 - materiały informacyjne
do projektu budżetu na 2021 rok</t>
  </si>
  <si>
    <t>Plan i wykonanie wydatków budżtu Gminy Rogoźno za 2020 rok - stan na 30.09.2020 roku w porównaniu z projektem wydatków  na 2021 rok (wskażnik procentowy) oraz przewidywane wykonanie wydatków na koniec 2020 roku</t>
  </si>
  <si>
    <t>75056</t>
  </si>
  <si>
    <t>75107</t>
  </si>
  <si>
    <t>75405</t>
  </si>
  <si>
    <t>2510</t>
  </si>
  <si>
    <t>2410</t>
  </si>
  <si>
    <t>Zakup żywności</t>
  </si>
  <si>
    <t>4710</t>
  </si>
  <si>
    <t xml:space="preserve">Spis powszechny i inne </t>
  </si>
  <si>
    <t xml:space="preserve">Wpłaty na PPK finansowane przez podmiot zatrudniający </t>
  </si>
  <si>
    <t xml:space="preserve">Komendy powiatowe Policji </t>
  </si>
  <si>
    <t xml:space="preserve">Składki na ubezpieczenie społeczne </t>
  </si>
  <si>
    <t xml:space="preserve">Składki na Fundusz Pracy oraz Fundusz Solidarnościowy </t>
  </si>
  <si>
    <t xml:space="preserve">Dotacja podmiotowa z budżetu dla samorządowego zakładu budżetowego </t>
  </si>
  <si>
    <t>Dotacja z budżetu jednostki samorządu terytorialnego dla samorządowego zakładu budżetowego na pierwsze wyposażenie w środki obrotowe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</si>
</sst>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5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3"/>
        <bgColor indexed="3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>
      <alignment vertical="top"/>
    </xf>
    <xf numFmtId="0" fontId="9" fillId="3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</xf>
    <xf numFmtId="0" fontId="1" fillId="0" borderId="0"/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9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4" applyNumberFormat="1" applyFont="1" applyFill="1" applyBorder="1" applyAlignment="1" applyProtection="1">
      <alignment horizontal="left"/>
      <protection locked="0"/>
    </xf>
    <xf numFmtId="49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4" applyNumberFormat="1" applyFont="1" applyFill="1" applyBorder="1" applyAlignment="1" applyProtection="1">
      <alignment horizontal="left" vertical="top" wrapText="1"/>
      <protection locked="0"/>
    </xf>
    <xf numFmtId="0" fontId="6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4" applyNumberFormat="1" applyFont="1" applyFill="1" applyBorder="1" applyAlignment="1" applyProtection="1">
      <alignment horizontal="left" vertical="top" wrapText="1"/>
      <protection locked="0"/>
    </xf>
    <xf numFmtId="4" fontId="12" fillId="0" borderId="3" xfId="4" applyNumberFormat="1" applyFont="1" applyFill="1" applyBorder="1" applyAlignment="1" applyProtection="1">
      <alignment horizontal="left" vertical="center" wrapText="1"/>
      <protection locked="0"/>
    </xf>
    <xf numFmtId="4" fontId="17" fillId="0" borderId="3" xfId="4" applyNumberFormat="1" applyFont="1" applyFill="1" applyBorder="1" applyAlignment="1" applyProtection="1">
      <alignment horizontal="left" vertical="center" wrapText="1"/>
      <protection locked="0"/>
    </xf>
    <xf numFmtId="10" fontId="17" fillId="0" borderId="3" xfId="4" applyNumberFormat="1" applyFont="1" applyFill="1" applyBorder="1" applyAlignment="1" applyProtection="1">
      <alignment horizontal="right" vertical="center" wrapText="1"/>
      <protection locked="0"/>
    </xf>
    <xf numFmtId="4" fontId="13" fillId="5" borderId="4" xfId="4" applyNumberFormat="1" applyFont="1" applyFill="1" applyBorder="1" applyAlignment="1" applyProtection="1">
      <alignment horizontal="right" vertical="center" wrapText="1"/>
      <protection locked="0"/>
    </xf>
    <xf numFmtId="49" fontId="15" fillId="7" borderId="2" xfId="4" applyNumberFormat="1" applyFont="1" applyFill="1" applyBorder="1" applyAlignment="1" applyProtection="1">
      <alignment horizontal="center" vertical="center" wrapText="1"/>
      <protection locked="0"/>
    </xf>
    <xf numFmtId="10" fontId="17" fillId="8" borderId="3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4" applyNumberFormat="1" applyFont="1" applyFill="1" applyBorder="1" applyAlignment="1" applyProtection="1">
      <alignment horizontal="center" vertical="top" wrapText="1"/>
      <protection locked="0"/>
    </xf>
    <xf numFmtId="4" fontId="13" fillId="5" borderId="8" xfId="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NumberFormat="1" applyFont="1" applyFill="1" applyBorder="1" applyAlignment="1" applyProtection="1">
      <alignment horizontal="right" vertical="top"/>
      <protection locked="0"/>
    </xf>
    <xf numFmtId="4" fontId="11" fillId="0" borderId="3" xfId="4" applyNumberFormat="1" applyFont="1" applyFill="1" applyBorder="1" applyAlignment="1" applyProtection="1">
      <alignment horizontal="left" vertical="center" wrapText="1"/>
      <protection locked="0"/>
    </xf>
    <xf numFmtId="4" fontId="11" fillId="0" borderId="3" xfId="4" applyNumberFormat="1" applyFont="1" applyFill="1" applyBorder="1" applyAlignment="1" applyProtection="1">
      <alignment horizontal="right" vertical="center" wrapText="1"/>
      <protection locked="0"/>
    </xf>
    <xf numFmtId="4" fontId="17" fillId="0" borderId="3" xfId="4" applyNumberFormat="1" applyFont="1" applyFill="1" applyBorder="1" applyAlignment="1" applyProtection="1">
      <alignment horizontal="right" vertical="center" wrapText="1"/>
      <protection locked="0"/>
    </xf>
    <xf numFmtId="4" fontId="11" fillId="8" borderId="3" xfId="4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4" applyNumberFormat="1" applyFont="1" applyFill="1" applyBorder="1" applyAlignment="1" applyProtection="1">
      <alignment horizontal="left"/>
      <protection locked="0"/>
    </xf>
    <xf numFmtId="4" fontId="22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23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4" applyNumberFormat="1" applyFont="1" applyFill="1" applyBorder="1" applyAlignment="1" applyProtection="1">
      <alignment horizontal="left" vertical="top" wrapText="1"/>
      <protection locked="0"/>
    </xf>
    <xf numFmtId="4" fontId="6" fillId="5" borderId="4" xfId="4" applyNumberFormat="1" applyFont="1" applyFill="1" applyBorder="1" applyAlignment="1" applyProtection="1">
      <alignment horizontal="right" vertical="center" wrapText="1"/>
      <protection locked="0"/>
    </xf>
    <xf numFmtId="4" fontId="13" fillId="5" borderId="12" xfId="4" applyNumberFormat="1" applyFont="1" applyFill="1" applyBorder="1" applyAlignment="1" applyProtection="1">
      <alignment horizontal="right" vertical="center" wrapText="1"/>
      <protection locked="0"/>
    </xf>
    <xf numFmtId="4" fontId="13" fillId="5" borderId="13" xfId="4" applyNumberFormat="1" applyFont="1" applyFill="1" applyBorder="1" applyAlignment="1" applyProtection="1">
      <alignment horizontal="right" vertical="center" wrapText="1"/>
      <protection locked="0"/>
    </xf>
    <xf numFmtId="4" fontId="11" fillId="0" borderId="9" xfId="4" applyNumberFormat="1" applyFont="1" applyFill="1" applyBorder="1" applyAlignment="1" applyProtection="1">
      <alignment horizontal="right" vertical="center" wrapText="1"/>
      <protection locked="0"/>
    </xf>
    <xf numFmtId="4" fontId="11" fillId="0" borderId="3" xfId="4" applyNumberFormat="1" applyFont="1" applyFill="1" applyBorder="1" applyAlignment="1" applyProtection="1">
      <alignment vertical="center" wrapText="1"/>
      <protection locked="0"/>
    </xf>
    <xf numFmtId="49" fontId="15" fillId="2" borderId="14" xfId="4" applyNumberFormat="1" applyFont="1" applyFill="1" applyBorder="1" applyAlignment="1" applyProtection="1">
      <alignment horizontal="center" vertical="center" wrapText="1"/>
      <protection locked="0"/>
    </xf>
    <xf numFmtId="4" fontId="15" fillId="2" borderId="3" xfId="4" applyNumberFormat="1" applyFont="1" applyFill="1" applyBorder="1" applyAlignment="1" applyProtection="1">
      <alignment horizontal="right" vertical="center" wrapText="1"/>
      <protection locked="0"/>
    </xf>
    <xf numFmtId="49" fontId="8" fillId="2" borderId="3" xfId="4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2" borderId="14" xfId="4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" applyNumberFormat="1" applyFont="1" applyFill="1" applyBorder="1" applyAlignment="1" applyProtection="1">
      <alignment horizontal="left"/>
      <protection locked="0"/>
    </xf>
    <xf numFmtId="10" fontId="17" fillId="0" borderId="3" xfId="4" applyNumberFormat="1" applyFont="1" applyFill="1" applyBorder="1" applyAlignment="1" applyProtection="1">
      <alignment vertical="center" wrapText="1"/>
      <protection locked="0"/>
    </xf>
    <xf numFmtId="4" fontId="17" fillId="0" borderId="3" xfId="4" applyNumberFormat="1" applyFont="1" applyFill="1" applyBorder="1" applyAlignment="1" applyProtection="1">
      <alignment vertical="center" wrapText="1"/>
      <protection locked="0"/>
    </xf>
    <xf numFmtId="4" fontId="17" fillId="8" borderId="3" xfId="4" applyNumberFormat="1" applyFont="1" applyFill="1" applyBorder="1" applyAlignment="1" applyProtection="1">
      <alignment horizontal="right" vertical="center" wrapText="1"/>
      <protection locked="0"/>
    </xf>
    <xf numFmtId="4" fontId="12" fillId="0" borderId="9" xfId="4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4" applyNumberFormat="1" applyFont="1" applyFill="1" applyBorder="1" applyAlignment="1" applyProtection="1">
      <alignment horizontal="center" vertical="center" wrapText="1"/>
      <protection locked="0"/>
    </xf>
    <xf numFmtId="49" fontId="17" fillId="7" borderId="2" xfId="4" applyNumberFormat="1" applyFont="1" applyFill="1" applyBorder="1" applyAlignment="1" applyProtection="1">
      <alignment horizontal="center" vertical="center" wrapText="1"/>
      <protection locked="0"/>
    </xf>
    <xf numFmtId="0" fontId="17" fillId="8" borderId="0" xfId="4" applyNumberFormat="1" applyFont="1" applyFill="1" applyBorder="1" applyAlignment="1" applyProtection="1">
      <alignment horizontal="left"/>
      <protection locked="0"/>
    </xf>
    <xf numFmtId="4" fontId="17" fillId="7" borderId="3" xfId="4" applyNumberFormat="1" applyFont="1" applyFill="1" applyBorder="1" applyAlignment="1" applyProtection="1">
      <alignment horizontal="right" vertical="center" wrapText="1"/>
      <protection locked="0"/>
    </xf>
    <xf numFmtId="10" fontId="17" fillId="7" borderId="3" xfId="4" applyNumberFormat="1" applyFont="1" applyFill="1" applyBorder="1" applyAlignment="1" applyProtection="1">
      <alignment horizontal="right" vertical="center" wrapText="1"/>
      <protection locked="0"/>
    </xf>
    <xf numFmtId="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4" fontId="13" fillId="5" borderId="17" xfId="4" applyNumberFormat="1" applyFont="1" applyFill="1" applyBorder="1" applyAlignment="1" applyProtection="1">
      <alignment horizontal="right" vertical="center" wrapText="1"/>
      <protection locked="0"/>
    </xf>
    <xf numFmtId="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4" fontId="24" fillId="2" borderId="3" xfId="4" applyNumberFormat="1" applyFont="1" applyFill="1" applyBorder="1" applyAlignment="1" applyProtection="1">
      <alignment horizontal="right" vertical="center" wrapText="1"/>
      <protection locked="0"/>
    </xf>
    <xf numFmtId="4" fontId="22" fillId="7" borderId="0" xfId="4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11" fillId="0" borderId="20" xfId="4" applyNumberFormat="1" applyFont="1" applyFill="1" applyBorder="1" applyAlignment="1" applyProtection="1">
      <alignment horizontal="right" vertical="center" wrapText="1"/>
      <protection locked="0"/>
    </xf>
    <xf numFmtId="4" fontId="21" fillId="7" borderId="0" xfId="4" applyNumberFormat="1" applyFont="1" applyFill="1" applyBorder="1" applyAlignment="1" applyProtection="1">
      <alignment horizontal="right" vertical="center" wrapText="1"/>
      <protection locked="0"/>
    </xf>
    <xf numFmtId="4" fontId="11" fillId="6" borderId="3" xfId="4" applyNumberFormat="1" applyFont="1" applyFill="1" applyBorder="1" applyAlignment="1" applyProtection="1">
      <alignment horizontal="right" vertical="center" wrapText="1"/>
      <protection locked="0"/>
    </xf>
    <xf numFmtId="4" fontId="11" fillId="6" borderId="9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4" applyNumberFormat="1" applyFont="1" applyFill="1" applyBorder="1" applyAlignment="1" applyProtection="1">
      <alignment horizontal="left" vertical="top" wrapText="1"/>
      <protection locked="0"/>
    </xf>
    <xf numFmtId="4" fontId="17" fillId="5" borderId="3" xfId="4" applyNumberFormat="1" applyFont="1" applyFill="1" applyBorder="1" applyAlignment="1" applyProtection="1">
      <alignment horizontal="right" vertical="center" wrapText="1"/>
      <protection locked="0"/>
    </xf>
    <xf numFmtId="4" fontId="2" fillId="6" borderId="3" xfId="4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4" applyNumberFormat="1" applyFont="1" applyFill="1" applyBorder="1" applyAlignment="1" applyProtection="1">
      <alignment horizontal="left" vertical="center" wrapText="1"/>
      <protection locked="0"/>
    </xf>
    <xf numFmtId="4" fontId="11" fillId="0" borderId="20" xfId="4" applyNumberFormat="1" applyFont="1" applyFill="1" applyBorder="1" applyAlignment="1" applyProtection="1">
      <alignment horizontal="left" vertical="center" wrapText="1"/>
      <protection locked="0"/>
    </xf>
    <xf numFmtId="4" fontId="11" fillId="0" borderId="16" xfId="4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4" applyNumberFormat="1" applyFont="1" applyFill="1" applyBorder="1" applyAlignment="1" applyProtection="1">
      <alignment horizontal="left" vertical="center" wrapText="1"/>
      <protection locked="0"/>
    </xf>
    <xf numFmtId="4" fontId="11" fillId="6" borderId="16" xfId="4" applyNumberFormat="1" applyFont="1" applyFill="1" applyBorder="1" applyAlignment="1" applyProtection="1">
      <alignment horizontal="right" vertical="center" wrapText="1"/>
      <protection locked="0"/>
    </xf>
    <xf numFmtId="49" fontId="15" fillId="7" borderId="3" xfId="4" applyNumberFormat="1" applyFont="1" applyFill="1" applyBorder="1" applyAlignment="1" applyProtection="1">
      <alignment horizontal="center" vertical="center" wrapText="1"/>
      <protection locked="0"/>
    </xf>
    <xf numFmtId="49" fontId="15" fillId="7" borderId="3" xfId="4" applyNumberFormat="1" applyFont="1" applyFill="1" applyBorder="1" applyAlignment="1" applyProtection="1">
      <alignment horizontal="left" vertical="center" wrapText="1"/>
      <protection locked="0"/>
    </xf>
    <xf numFmtId="4" fontId="15" fillId="7" borderId="3" xfId="4" applyNumberFormat="1" applyFont="1" applyFill="1" applyBorder="1" applyAlignment="1" applyProtection="1">
      <alignment horizontal="right" vertical="center" wrapText="1"/>
      <protection locked="0"/>
    </xf>
    <xf numFmtId="49" fontId="2" fillId="7" borderId="3" xfId="4" applyNumberFormat="1" applyFont="1" applyFill="1" applyBorder="1" applyAlignment="1" applyProtection="1">
      <alignment horizontal="center" vertical="center" wrapText="1"/>
      <protection locked="0"/>
    </xf>
    <xf numFmtId="4" fontId="15" fillId="5" borderId="3" xfId="4" applyNumberFormat="1" applyFont="1" applyFill="1" applyBorder="1" applyAlignment="1" applyProtection="1">
      <alignment horizontal="right" vertical="center" wrapText="1"/>
      <protection locked="0"/>
    </xf>
    <xf numFmtId="4" fontId="15" fillId="7" borderId="0" xfId="4" applyNumberFormat="1" applyFont="1" applyFill="1" applyBorder="1" applyAlignment="1" applyProtection="1">
      <alignment horizontal="right" vertical="center" wrapText="1"/>
      <protection locked="0"/>
    </xf>
    <xf numFmtId="4" fontId="15" fillId="5" borderId="20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4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8" xfId="4" applyNumberFormat="1" applyFont="1" applyFill="1" applyBorder="1" applyAlignment="1" applyProtection="1">
      <alignment horizontal="right" vertical="center" wrapText="1"/>
      <protection locked="0"/>
    </xf>
    <xf numFmtId="4" fontId="6" fillId="9" borderId="4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12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13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10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3" xfId="4" applyNumberFormat="1" applyFont="1" applyFill="1" applyBorder="1" applyAlignment="1" applyProtection="1">
      <alignment horizontal="right" vertical="center" wrapText="1"/>
      <protection locked="0"/>
    </xf>
    <xf numFmtId="4" fontId="6" fillId="10" borderId="3" xfId="4" applyNumberFormat="1" applyFont="1" applyFill="1" applyBorder="1" applyAlignment="1" applyProtection="1">
      <alignment horizontal="right" vertical="center" wrapText="1"/>
      <protection locked="0"/>
    </xf>
    <xf numFmtId="4" fontId="5" fillId="10" borderId="3" xfId="4" applyNumberFormat="1" applyFont="1" applyFill="1" applyBorder="1" applyAlignment="1" applyProtection="1">
      <alignment horizontal="left" vertical="center" wrapText="1"/>
      <protection locked="0"/>
    </xf>
    <xf numFmtId="4" fontId="7" fillId="9" borderId="19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7" xfId="4" applyNumberFormat="1" applyFont="1" applyFill="1" applyBorder="1" applyAlignment="1" applyProtection="1">
      <alignment horizontal="right" vertical="center" wrapText="1"/>
      <protection locked="0"/>
    </xf>
    <xf numFmtId="4" fontId="15" fillId="11" borderId="4" xfId="4" applyNumberFormat="1" applyFont="1" applyFill="1" applyBorder="1" applyAlignment="1" applyProtection="1">
      <alignment horizontal="right" vertical="center" wrapText="1"/>
      <protection locked="0"/>
    </xf>
    <xf numFmtId="4" fontId="15" fillId="11" borderId="8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4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8" xfId="4" applyNumberFormat="1" applyFont="1" applyFill="1" applyBorder="1" applyAlignment="1" applyProtection="1">
      <alignment horizontal="right" vertical="center" wrapText="1"/>
      <protection locked="0"/>
    </xf>
    <xf numFmtId="10" fontId="18" fillId="12" borderId="3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4" xfId="4" applyNumberFormat="1" applyFont="1" applyFill="1" applyBorder="1" applyAlignment="1" applyProtection="1">
      <alignment vertical="center" wrapText="1"/>
      <protection locked="0"/>
    </xf>
    <xf numFmtId="4" fontId="6" fillId="11" borderId="4" xfId="4" applyNumberFormat="1" applyFont="1" applyFill="1" applyBorder="1" applyAlignment="1" applyProtection="1">
      <alignment horizontal="right" vertical="center" wrapText="1"/>
      <protection locked="0"/>
    </xf>
    <xf numFmtId="0" fontId="5" fillId="8" borderId="0" xfId="4" applyNumberFormat="1" applyFont="1" applyFill="1" applyBorder="1" applyAlignment="1" applyProtection="1">
      <alignment horizontal="left"/>
      <protection locked="0"/>
    </xf>
    <xf numFmtId="49" fontId="7" fillId="11" borderId="3" xfId="4" applyNumberFormat="1" applyFont="1" applyFill="1" applyBorder="1" applyAlignment="1" applyProtection="1">
      <alignment horizontal="center" vertical="center" wrapText="1"/>
      <protection locked="0"/>
    </xf>
    <xf numFmtId="4" fontId="7" fillId="11" borderId="12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13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10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19" xfId="4" applyNumberFormat="1" applyFont="1" applyFill="1" applyBorder="1" applyAlignment="1" applyProtection="1">
      <alignment horizontal="right" vertical="center" wrapText="1"/>
      <protection locked="0"/>
    </xf>
    <xf numFmtId="4" fontId="11" fillId="13" borderId="3" xfId="4" applyNumberFormat="1" applyFont="1" applyFill="1" applyBorder="1" applyAlignment="1" applyProtection="1">
      <alignment horizontal="right" vertical="center" wrapText="1"/>
      <protection locked="0"/>
    </xf>
    <xf numFmtId="4" fontId="2" fillId="8" borderId="3" xfId="4" applyNumberFormat="1" applyFont="1" applyFill="1" applyBorder="1" applyAlignment="1" applyProtection="1">
      <alignment horizontal="right" vertical="center" wrapText="1"/>
      <protection locked="0"/>
    </xf>
    <xf numFmtId="4" fontId="11" fillId="6" borderId="3" xfId="4" applyNumberFormat="1" applyFont="1" applyFill="1" applyBorder="1" applyAlignment="1" applyProtection="1">
      <alignment vertical="center" wrapText="1"/>
      <protection locked="0"/>
    </xf>
    <xf numFmtId="4" fontId="11" fillId="4" borderId="3" xfId="4" applyNumberFormat="1" applyFont="1" applyFill="1" applyBorder="1" applyAlignment="1" applyProtection="1">
      <alignment horizontal="right" vertical="center" wrapText="1"/>
      <protection locked="0"/>
    </xf>
    <xf numFmtId="4" fontId="25" fillId="4" borderId="3" xfId="4" applyNumberFormat="1" applyFont="1" applyFill="1" applyBorder="1" applyAlignment="1" applyProtection="1">
      <alignment horizontal="right" vertical="center" wrapText="1"/>
      <protection locked="0"/>
    </xf>
    <xf numFmtId="4" fontId="11" fillId="14" borderId="3" xfId="4" applyNumberFormat="1" applyFont="1" applyFill="1" applyBorder="1" applyAlignment="1" applyProtection="1">
      <alignment horizontal="right" vertical="center" wrapText="1"/>
      <protection locked="0"/>
    </xf>
    <xf numFmtId="4" fontId="11" fillId="14" borderId="16" xfId="4" applyNumberFormat="1" applyFont="1" applyFill="1" applyBorder="1" applyAlignment="1" applyProtection="1">
      <alignment horizontal="right" vertical="center" wrapText="1"/>
      <protection locked="0"/>
    </xf>
    <xf numFmtId="4" fontId="15" fillId="15" borderId="3" xfId="4" applyNumberFormat="1" applyFont="1" applyFill="1" applyBorder="1" applyAlignment="1" applyProtection="1">
      <alignment horizontal="right" vertical="center" wrapText="1"/>
      <protection locked="0"/>
    </xf>
    <xf numFmtId="4" fontId="23" fillId="16" borderId="0" xfId="4" applyNumberFormat="1" applyFont="1" applyFill="1" applyBorder="1" applyAlignment="1" applyProtection="1">
      <alignment horizontal="right" vertical="center" wrapText="1"/>
      <protection locked="0"/>
    </xf>
    <xf numFmtId="4" fontId="21" fillId="17" borderId="0" xfId="4" applyNumberFormat="1" applyFont="1" applyFill="1" applyBorder="1" applyAlignment="1" applyProtection="1">
      <alignment horizontal="right" vertical="center" wrapText="1"/>
      <protection locked="0"/>
    </xf>
    <xf numFmtId="4" fontId="11" fillId="18" borderId="3" xfId="4" applyNumberFormat="1" applyFont="1" applyFill="1" applyBorder="1" applyAlignment="1" applyProtection="1">
      <alignment horizontal="right" vertical="center" wrapText="1"/>
      <protection locked="0"/>
    </xf>
    <xf numFmtId="49" fontId="8" fillId="7" borderId="3" xfId="1" applyNumberFormat="1" applyFont="1" applyFill="1" applyBorder="1" applyAlignment="1" applyProtection="1">
      <alignment horizontal="left" vertical="center" wrapText="1"/>
      <protection locked="0"/>
    </xf>
    <xf numFmtId="4" fontId="20" fillId="5" borderId="5" xfId="4" applyNumberFormat="1" applyFont="1" applyFill="1" applyBorder="1" applyAlignment="1" applyProtection="1">
      <alignment horizontal="right" vertical="center" wrapText="1"/>
      <protection locked="0"/>
    </xf>
    <xf numFmtId="4" fontId="20" fillId="11" borderId="5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3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17" xfId="4" applyNumberFormat="1" applyFont="1" applyFill="1" applyBorder="1" applyAlignment="1" applyProtection="1">
      <alignment horizontal="right" vertical="center" wrapText="1"/>
      <protection locked="0"/>
    </xf>
    <xf numFmtId="4" fontId="20" fillId="9" borderId="5" xfId="4" applyNumberFormat="1" applyFont="1" applyFill="1" applyBorder="1" applyAlignment="1" applyProtection="1">
      <alignment horizontal="right" vertical="center" wrapText="1"/>
      <protection locked="0"/>
    </xf>
    <xf numFmtId="4" fontId="20" fillId="9" borderId="18" xfId="4" applyNumberFormat="1" applyFont="1" applyFill="1" applyBorder="1" applyAlignment="1" applyProtection="1">
      <alignment horizontal="right" vertical="center" wrapText="1"/>
      <protection locked="0"/>
    </xf>
    <xf numFmtId="4" fontId="20" fillId="11" borderId="17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5" xfId="4" applyNumberFormat="1" applyFont="1" applyFill="1" applyBorder="1" applyAlignment="1" applyProtection="1">
      <alignment horizontal="right" vertical="center" wrapText="1"/>
      <protection locked="0"/>
    </xf>
    <xf numFmtId="49" fontId="7" fillId="11" borderId="4" xfId="4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4" applyNumberFormat="1" applyFont="1" applyFill="1" applyBorder="1" applyAlignment="1" applyProtection="1">
      <alignment horizontal="center" vertical="center" wrapText="1"/>
      <protection locked="0"/>
    </xf>
    <xf numFmtId="49" fontId="17" fillId="7" borderId="14" xfId="4" applyNumberFormat="1" applyFont="1" applyFill="1" applyBorder="1" applyAlignment="1" applyProtection="1">
      <alignment horizontal="center" vertical="center" wrapText="1"/>
      <protection locked="0"/>
    </xf>
    <xf numFmtId="49" fontId="15" fillId="7" borderId="14" xfId="4" applyNumberFormat="1" applyFont="1" applyFill="1" applyBorder="1" applyAlignment="1" applyProtection="1">
      <alignment horizontal="center" vertical="center" wrapText="1"/>
      <protection locked="0"/>
    </xf>
    <xf numFmtId="49" fontId="15" fillId="7" borderId="11" xfId="4" applyNumberFormat="1" applyFont="1" applyFill="1" applyBorder="1" applyAlignment="1" applyProtection="1">
      <alignment horizontal="center" vertical="center" wrapText="1"/>
      <protection locked="0"/>
    </xf>
    <xf numFmtId="49" fontId="15" fillId="2" borderId="12" xfId="4" applyNumberFormat="1" applyFont="1" applyFill="1" applyBorder="1" applyAlignment="1" applyProtection="1">
      <alignment horizontal="center" vertical="center" wrapText="1"/>
      <protection locked="0"/>
    </xf>
    <xf numFmtId="49" fontId="15" fillId="2" borderId="22" xfId="4" applyNumberFormat="1" applyFont="1" applyFill="1" applyBorder="1" applyAlignment="1" applyProtection="1">
      <alignment horizontal="center" vertical="center" wrapText="1"/>
      <protection locked="0"/>
    </xf>
    <xf numFmtId="49" fontId="15" fillId="2" borderId="21" xfId="4" applyNumberFormat="1" applyFont="1" applyFill="1" applyBorder="1" applyAlignment="1" applyProtection="1">
      <alignment horizontal="center" vertical="center" wrapText="1"/>
      <protection locked="0"/>
    </xf>
    <xf numFmtId="4" fontId="23" fillId="0" borderId="7" xfId="4" applyNumberFormat="1" applyFont="1" applyFill="1" applyBorder="1" applyAlignment="1" applyProtection="1">
      <alignment horizontal="right" vertical="center" wrapText="1"/>
      <protection locked="0"/>
    </xf>
    <xf numFmtId="4" fontId="20" fillId="5" borderId="17" xfId="4" applyNumberFormat="1" applyFont="1" applyFill="1" applyBorder="1" applyAlignment="1" applyProtection="1">
      <alignment horizontal="right" vertical="center" wrapText="1"/>
      <protection locked="0"/>
    </xf>
    <xf numFmtId="4" fontId="21" fillId="11" borderId="5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5" xfId="4" applyNumberFormat="1" applyFont="1" applyFill="1" applyBorder="1" applyAlignment="1" applyProtection="1">
      <alignment horizontal="right" vertical="center" wrapText="1"/>
      <protection locked="0"/>
    </xf>
    <xf numFmtId="4" fontId="24" fillId="10" borderId="7" xfId="4" applyNumberFormat="1" applyFont="1" applyFill="1" applyBorder="1" applyAlignment="1" applyProtection="1">
      <alignment horizontal="right" vertical="center" wrapText="1"/>
      <protection locked="0"/>
    </xf>
    <xf numFmtId="4" fontId="21" fillId="7" borderId="7" xfId="4" applyNumberFormat="1" applyFont="1" applyFill="1" applyBorder="1" applyAlignment="1" applyProtection="1">
      <alignment horizontal="right" vertical="center" wrapText="1"/>
      <protection locked="0"/>
    </xf>
    <xf numFmtId="4" fontId="20" fillId="9" borderId="17" xfId="4" applyNumberFormat="1" applyFont="1" applyFill="1" applyBorder="1" applyAlignment="1" applyProtection="1">
      <alignment horizontal="right" vertical="center" wrapText="1"/>
      <protection locked="0"/>
    </xf>
    <xf numFmtId="49" fontId="6" fillId="2" borderId="3" xfId="4" applyNumberFormat="1" applyFont="1" applyFill="1" applyBorder="1" applyAlignment="1" applyProtection="1">
      <alignment horizontal="center" vertical="center" wrapText="1"/>
      <protection locked="0"/>
    </xf>
    <xf numFmtId="49" fontId="26" fillId="11" borderId="3" xfId="4" applyNumberFormat="1" applyFont="1" applyFill="1" applyBorder="1" applyAlignment="1" applyProtection="1">
      <alignment horizontal="center" vertical="center" wrapText="1"/>
      <protection locked="0"/>
    </xf>
    <xf numFmtId="49" fontId="7" fillId="11" borderId="3" xfId="4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4" applyNumberFormat="1" applyFont="1" applyFill="1" applyBorder="1" applyAlignment="1" applyProtection="1">
      <alignment horizontal="left" vertical="center" wrapText="1"/>
      <protection locked="0"/>
    </xf>
    <xf numFmtId="4" fontId="18" fillId="11" borderId="3" xfId="4" applyNumberFormat="1" applyFont="1" applyFill="1" applyBorder="1" applyAlignment="1" applyProtection="1">
      <alignment horizontal="right" vertical="center" wrapText="1"/>
      <protection locked="0"/>
    </xf>
    <xf numFmtId="4" fontId="25" fillId="0" borderId="3" xfId="4" applyNumberFormat="1" applyFont="1" applyFill="1" applyBorder="1" applyAlignment="1" applyProtection="1">
      <alignment horizontal="right" vertical="center" wrapText="1"/>
      <protection locked="0"/>
    </xf>
    <xf numFmtId="49" fontId="17" fillId="7" borderId="3" xfId="4" applyNumberFormat="1" applyFont="1" applyFill="1" applyBorder="1" applyAlignment="1" applyProtection="1">
      <alignment horizontal="center" vertical="center" wrapText="1"/>
      <protection locked="0"/>
    </xf>
    <xf numFmtId="49" fontId="17" fillId="7" borderId="3" xfId="4" applyNumberFormat="1" applyFont="1" applyFill="1" applyBorder="1" applyAlignment="1" applyProtection="1">
      <alignment horizontal="left" vertical="center" wrapText="1"/>
      <protection locked="0"/>
    </xf>
    <xf numFmtId="4" fontId="17" fillId="2" borderId="3" xfId="4" applyNumberFormat="1" applyFont="1" applyFill="1" applyBorder="1" applyAlignment="1" applyProtection="1">
      <alignment horizontal="right" vertical="center" wrapText="1"/>
      <protection locked="0"/>
    </xf>
    <xf numFmtId="4" fontId="20" fillId="11" borderId="0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0" xfId="4" applyNumberFormat="1" applyFont="1" applyFill="1" applyBorder="1" applyAlignment="1" applyProtection="1">
      <alignment horizontal="right" vertical="center" wrapText="1"/>
      <protection locked="0"/>
    </xf>
    <xf numFmtId="4" fontId="7" fillId="11" borderId="20" xfId="4" applyNumberFormat="1" applyFont="1" applyFill="1" applyBorder="1" applyAlignment="1" applyProtection="1">
      <alignment horizontal="right" vertical="center" wrapText="1"/>
      <protection locked="0"/>
    </xf>
    <xf numFmtId="49" fontId="8" fillId="7" borderId="14" xfId="4" applyNumberFormat="1" applyFont="1" applyFill="1" applyBorder="1" applyAlignment="1" applyProtection="1">
      <alignment horizontal="center" vertical="center" wrapText="1"/>
      <protection locked="0"/>
    </xf>
    <xf numFmtId="49" fontId="8" fillId="7" borderId="3" xfId="4" applyNumberFormat="1" applyFont="1" applyFill="1" applyBorder="1" applyAlignment="1" applyProtection="1">
      <alignment horizontal="left" vertical="center" wrapText="1"/>
      <protection locked="0"/>
    </xf>
    <xf numFmtId="4" fontId="8" fillId="7" borderId="3" xfId="4" applyNumberFormat="1" applyFont="1" applyFill="1" applyBorder="1" applyAlignment="1" applyProtection="1">
      <alignment horizontal="right" vertical="center" wrapText="1"/>
      <protection locked="0"/>
    </xf>
    <xf numFmtId="49" fontId="13" fillId="7" borderId="2" xfId="4" applyNumberFormat="1" applyFont="1" applyFill="1" applyBorder="1" applyAlignment="1" applyProtection="1">
      <alignment horizontal="center" vertical="center" wrapText="1"/>
      <protection locked="0"/>
    </xf>
    <xf numFmtId="49" fontId="8" fillId="7" borderId="12" xfId="4" applyNumberFormat="1" applyFont="1" applyFill="1" applyBorder="1" applyAlignment="1" applyProtection="1">
      <alignment horizontal="center" vertical="center" wrapText="1"/>
      <protection locked="0"/>
    </xf>
    <xf numFmtId="49" fontId="8" fillId="7" borderId="3" xfId="4" applyNumberFormat="1" applyFont="1" applyFill="1" applyBorder="1" applyAlignment="1" applyProtection="1">
      <alignment horizontal="center" vertical="center" wrapText="1"/>
      <protection locked="0"/>
    </xf>
    <xf numFmtId="4" fontId="11" fillId="4" borderId="0" xfId="4" applyNumberFormat="1" applyFont="1" applyFill="1" applyBorder="1" applyAlignment="1" applyProtection="1">
      <alignment horizontal="right" vertical="center" wrapText="1"/>
      <protection locked="0"/>
    </xf>
    <xf numFmtId="4" fontId="20" fillId="9" borderId="0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0" xfId="4" applyNumberFormat="1" applyFont="1" applyFill="1" applyBorder="1" applyAlignment="1" applyProtection="1">
      <alignment horizontal="right" vertical="center" wrapText="1"/>
      <protection locked="0"/>
    </xf>
    <xf numFmtId="4" fontId="7" fillId="9" borderId="20" xfId="4" applyNumberFormat="1" applyFont="1" applyFill="1" applyBorder="1" applyAlignment="1" applyProtection="1">
      <alignment horizontal="right" vertical="center" wrapText="1"/>
      <protection locked="0"/>
    </xf>
    <xf numFmtId="49" fontId="8" fillId="7" borderId="6" xfId="4" applyNumberFormat="1" applyFont="1" applyFill="1" applyBorder="1" applyAlignment="1" applyProtection="1">
      <alignment horizontal="center" vertical="center" wrapText="1"/>
      <protection locked="0"/>
    </xf>
    <xf numFmtId="10" fontId="8" fillId="7" borderId="3" xfId="4" applyNumberFormat="1" applyFont="1" applyFill="1" applyBorder="1" applyAlignment="1" applyProtection="1">
      <alignment horizontal="right" vertical="center" wrapText="1"/>
      <protection locked="0"/>
    </xf>
    <xf numFmtId="49" fontId="13" fillId="11" borderId="1" xfId="4" applyNumberFormat="1" applyFont="1" applyFill="1" applyBorder="1" applyAlignment="1" applyProtection="1">
      <alignment horizontal="center" vertical="center" wrapText="1"/>
      <protection locked="0"/>
    </xf>
    <xf numFmtId="49" fontId="13" fillId="11" borderId="4" xfId="4" applyNumberFormat="1" applyFont="1" applyFill="1" applyBorder="1" applyAlignment="1" applyProtection="1">
      <alignment horizontal="center" vertical="center" wrapText="1"/>
      <protection locked="0"/>
    </xf>
    <xf numFmtId="49" fontId="13" fillId="11" borderId="3" xfId="4" applyNumberFormat="1" applyFont="1" applyFill="1" applyBorder="1" applyAlignment="1" applyProtection="1">
      <alignment horizontal="center" vertical="center" wrapText="1"/>
      <protection locked="0"/>
    </xf>
    <xf numFmtId="49" fontId="13" fillId="11" borderId="3" xfId="4" applyNumberFormat="1" applyFont="1" applyFill="1" applyBorder="1" applyAlignment="1" applyProtection="1">
      <alignment horizontal="left" vertical="center" wrapText="1"/>
      <protection locked="0"/>
    </xf>
    <xf numFmtId="4" fontId="13" fillId="11" borderId="3" xfId="4" applyNumberFormat="1" applyFont="1" applyFill="1" applyBorder="1" applyAlignment="1" applyProtection="1">
      <alignment horizontal="right" vertical="center" wrapText="1"/>
      <protection locked="0"/>
    </xf>
    <xf numFmtId="10" fontId="13" fillId="11" borderId="3" xfId="4" applyNumberFormat="1" applyFont="1" applyFill="1" applyBorder="1" applyAlignment="1" applyProtection="1">
      <alignment horizontal="right" vertical="center" wrapText="1"/>
      <protection locked="0"/>
    </xf>
    <xf numFmtId="49" fontId="7" fillId="11" borderId="1" xfId="4" applyNumberFormat="1" applyFont="1" applyFill="1" applyBorder="1" applyAlignment="1" applyProtection="1">
      <alignment horizontal="center" vertical="center" wrapText="1"/>
      <protection locked="0"/>
    </xf>
    <xf numFmtId="49" fontId="13" fillId="11" borderId="12" xfId="4" applyNumberFormat="1" applyFont="1" applyFill="1" applyBorder="1" applyAlignment="1" applyProtection="1">
      <alignment horizontal="center" vertical="center" wrapText="1"/>
      <protection locked="0"/>
    </xf>
    <xf numFmtId="4" fontId="16" fillId="11" borderId="17" xfId="4" applyNumberFormat="1" applyFont="1" applyFill="1" applyBorder="1" applyAlignment="1" applyProtection="1">
      <alignment horizontal="right" vertical="center" wrapText="1"/>
      <protection locked="0"/>
    </xf>
    <xf numFmtId="10" fontId="16" fillId="11" borderId="16" xfId="4" applyNumberFormat="1" applyFont="1" applyFill="1" applyBorder="1" applyAlignment="1" applyProtection="1">
      <alignment horizontal="right" vertical="center" wrapText="1"/>
      <protection locked="0"/>
    </xf>
    <xf numFmtId="49" fontId="7" fillId="19" borderId="4" xfId="4" applyNumberFormat="1" applyFont="1" applyFill="1" applyBorder="1" applyAlignment="1" applyProtection="1">
      <alignment horizontal="center" vertical="center" wrapText="1"/>
      <protection locked="0"/>
    </xf>
    <xf numFmtId="49" fontId="26" fillId="19" borderId="3" xfId="4" applyNumberFormat="1" applyFont="1" applyFill="1" applyBorder="1" applyAlignment="1" applyProtection="1">
      <alignment horizontal="center" vertical="center" wrapText="1"/>
      <protection locked="0"/>
    </xf>
    <xf numFmtId="49" fontId="7" fillId="19" borderId="3" xfId="4" applyNumberFormat="1" applyFont="1" applyFill="1" applyBorder="1" applyAlignment="1" applyProtection="1">
      <alignment horizontal="left" vertical="center" wrapText="1"/>
      <protection locked="0"/>
    </xf>
    <xf numFmtId="4" fontId="7" fillId="19" borderId="3" xfId="4" applyNumberFormat="1" applyFont="1" applyFill="1" applyBorder="1" applyAlignment="1" applyProtection="1">
      <alignment horizontal="right" vertical="center" wrapText="1"/>
      <protection locked="0"/>
    </xf>
    <xf numFmtId="10" fontId="7" fillId="19" borderId="3" xfId="4" applyNumberFormat="1" applyFont="1" applyFill="1" applyBorder="1" applyAlignment="1" applyProtection="1">
      <alignment horizontal="right" vertical="center" wrapText="1"/>
      <protection locked="0"/>
    </xf>
    <xf numFmtId="10" fontId="18" fillId="20" borderId="3" xfId="4" applyNumberFormat="1" applyFont="1" applyFill="1" applyBorder="1" applyAlignment="1" applyProtection="1">
      <alignment horizontal="right" vertical="center" wrapText="1"/>
      <protection locked="0"/>
    </xf>
    <xf numFmtId="4" fontId="18" fillId="19" borderId="3" xfId="4" applyNumberFormat="1" applyFont="1" applyFill="1" applyBorder="1" applyAlignment="1" applyProtection="1">
      <alignment horizontal="right" vertical="center" wrapText="1"/>
      <protection locked="0"/>
    </xf>
    <xf numFmtId="49" fontId="7" fillId="19" borderId="6" xfId="4" applyNumberFormat="1" applyFont="1" applyFill="1" applyBorder="1" applyAlignment="1" applyProtection="1">
      <alignment horizontal="center" vertical="center" wrapText="1"/>
      <protection locked="0"/>
    </xf>
    <xf numFmtId="49" fontId="7" fillId="19" borderId="3" xfId="4" applyNumberFormat="1" applyFont="1" applyFill="1" applyBorder="1" applyAlignment="1" applyProtection="1">
      <alignment horizontal="center" vertical="center" wrapText="1"/>
      <protection locked="0"/>
    </xf>
    <xf numFmtId="4" fontId="18" fillId="19" borderId="3" xfId="4" applyNumberFormat="1" applyFont="1" applyFill="1" applyBorder="1" applyAlignment="1" applyProtection="1">
      <alignment vertical="center" wrapText="1"/>
      <protection locked="0"/>
    </xf>
    <xf numFmtId="10" fontId="18" fillId="20" borderId="3" xfId="4" applyNumberFormat="1" applyFont="1" applyFill="1" applyBorder="1" applyAlignment="1" applyProtection="1">
      <alignment vertical="center" wrapText="1"/>
      <protection locked="0"/>
    </xf>
    <xf numFmtId="10" fontId="18" fillId="19" borderId="3" xfId="4" applyNumberFormat="1" applyFont="1" applyFill="1" applyBorder="1" applyAlignment="1" applyProtection="1">
      <alignment horizontal="right" vertical="center" wrapText="1"/>
      <protection locked="0"/>
    </xf>
    <xf numFmtId="49" fontId="7" fillId="19" borderId="3" xfId="1" applyNumberFormat="1" applyFont="1" applyFill="1" applyBorder="1" applyAlignment="1" applyProtection="1">
      <alignment horizontal="left" vertical="center" wrapText="1"/>
      <protection locked="0"/>
    </xf>
    <xf numFmtId="4" fontId="18" fillId="20" borderId="3" xfId="4" applyNumberFormat="1" applyFont="1" applyFill="1" applyBorder="1" applyAlignment="1" applyProtection="1">
      <alignment horizontal="right" vertical="center" wrapText="1"/>
      <protection locked="0"/>
    </xf>
    <xf numFmtId="4" fontId="11" fillId="6" borderId="0" xfId="4" applyNumberFormat="1" applyFont="1" applyFill="1" applyBorder="1" applyAlignment="1" applyProtection="1">
      <alignment horizontal="right" vertical="center" wrapText="1"/>
      <protection locked="0"/>
    </xf>
    <xf numFmtId="4" fontId="12" fillId="0" borderId="20" xfId="4" applyNumberFormat="1" applyFont="1" applyFill="1" applyBorder="1" applyAlignment="1" applyProtection="1">
      <alignment horizontal="left" vertical="center" wrapText="1"/>
      <protection locked="0"/>
    </xf>
    <xf numFmtId="4" fontId="12" fillId="0" borderId="0" xfId="4" applyNumberFormat="1" applyFont="1" applyFill="1" applyBorder="1" applyAlignment="1" applyProtection="1">
      <alignment horizontal="left" vertical="center" wrapText="1"/>
      <protection locked="0"/>
    </xf>
    <xf numFmtId="49" fontId="7" fillId="19" borderId="12" xfId="4" applyNumberFormat="1" applyFont="1" applyFill="1" applyBorder="1" applyAlignment="1" applyProtection="1">
      <alignment horizontal="center" vertical="center" wrapText="1"/>
      <protection locked="0"/>
    </xf>
    <xf numFmtId="10" fontId="7" fillId="19" borderId="3" xfId="40" applyNumberFormat="1" applyFont="1" applyFill="1" applyBorder="1" applyAlignment="1" applyProtection="1">
      <alignment horizontal="right" vertical="center" wrapText="1"/>
      <protection locked="0"/>
    </xf>
    <xf numFmtId="10" fontId="18" fillId="11" borderId="3" xfId="40" applyNumberFormat="1" applyFont="1" applyFill="1" applyBorder="1" applyAlignment="1" applyProtection="1">
      <alignment horizontal="right" vertical="center" wrapText="1"/>
      <protection locked="0"/>
    </xf>
    <xf numFmtId="49" fontId="7" fillId="7" borderId="14" xfId="4" applyNumberFormat="1" applyFont="1" applyFill="1" applyBorder="1" applyAlignment="1" applyProtection="1">
      <alignment horizontal="center" vertical="center" wrapText="1"/>
      <protection locked="0"/>
    </xf>
    <xf numFmtId="49" fontId="16" fillId="11" borderId="1" xfId="4" applyNumberFormat="1" applyFont="1" applyFill="1" applyBorder="1" applyAlignment="1" applyProtection="1">
      <alignment horizontal="right" vertical="center" wrapText="1"/>
      <protection locked="0"/>
    </xf>
    <xf numFmtId="49" fontId="16" fillId="11" borderId="15" xfId="4" applyNumberFormat="1" applyFont="1" applyFill="1" applyBorder="1" applyAlignment="1" applyProtection="1">
      <alignment horizontal="right" vertical="center" wrapText="1"/>
      <protection locked="0"/>
    </xf>
    <xf numFmtId="49" fontId="3" fillId="2" borderId="0" xfId="4" applyNumberFormat="1" applyFont="1" applyFill="1" applyBorder="1" applyAlignment="1" applyProtection="1">
      <alignment horizontal="center" wrapText="1"/>
      <protection locked="0"/>
    </xf>
    <xf numFmtId="49" fontId="15" fillId="2" borderId="2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4" fontId="16" fillId="11" borderId="3" xfId="4" applyNumberFormat="1" applyFont="1" applyFill="1" applyBorder="1" applyAlignment="1" applyProtection="1">
      <alignment horizontal="right" vertical="center" wrapText="1"/>
      <protection locked="0"/>
    </xf>
  </cellXfs>
  <cellStyles count="41">
    <cellStyle name="ConditionalStyle_1" xfId="2"/>
    <cellStyle name="Dziesiętny 2" xfId="39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20"/>
    <cellStyle name="Normalny 24" xfId="21"/>
    <cellStyle name="Normalny 25" xfId="22"/>
    <cellStyle name="Normalny 26" xfId="23"/>
    <cellStyle name="Normalny 27" xfId="24"/>
    <cellStyle name="Normalny 28" xfId="25"/>
    <cellStyle name="Normalny 29" xfId="1"/>
    <cellStyle name="Normalny 3" xfId="26"/>
    <cellStyle name="Normalny 3 2" xfId="27"/>
    <cellStyle name="Normalny 4" xfId="28"/>
    <cellStyle name="Normalny 4 2" xfId="29"/>
    <cellStyle name="Normalny 5" xfId="30"/>
    <cellStyle name="Normalny 5 2" xfId="31"/>
    <cellStyle name="Normalny 5 3" xfId="32"/>
    <cellStyle name="Normalny 5 3 2" xfId="33"/>
    <cellStyle name="Normalny 6" xfId="34"/>
    <cellStyle name="Normalny 7" xfId="35"/>
    <cellStyle name="Normalny 7 2" xfId="36"/>
    <cellStyle name="Normalny 8" xfId="37"/>
    <cellStyle name="Normalny 9" xfId="38"/>
    <cellStyle name="Procentowy" xfId="40" builtinId="5"/>
  </cellStyles>
  <dxfs count="0"/>
  <tableStyles count="0" defaultTableStyle="TableStyleMedium2" defaultPivotStyle="PivotStyleLight16"/>
  <colors>
    <mruColors>
      <color rgb="FFFFFF00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5"/>
  <sheetViews>
    <sheetView showGridLines="0" tabSelected="1" zoomScale="115" zoomScaleNormal="115" zoomScaleSheetLayoutView="80" workbookViewId="0">
      <pane xSplit="5" ySplit="3" topLeftCell="F635" activePane="bottomRight" state="frozen"/>
      <selection pane="topRight" activeCell="F1" sqref="F1"/>
      <selection pane="bottomLeft" activeCell="A5" sqref="A5"/>
      <selection pane="bottomRight" activeCell="AO642" sqref="AO642"/>
    </sheetView>
  </sheetViews>
  <sheetFormatPr defaultRowHeight="12.75" x14ac:dyDescent="0.2"/>
  <cols>
    <col min="1" max="1" width="6.140625" style="1" customWidth="1"/>
    <col min="2" max="2" width="8.42578125" style="1" customWidth="1"/>
    <col min="3" max="3" width="8.140625" style="1" customWidth="1"/>
    <col min="4" max="4" width="29.85546875" style="1" customWidth="1"/>
    <col min="5" max="5" width="13.28515625" style="1" customWidth="1"/>
    <col min="6" max="6" width="12.28515625" style="1" customWidth="1"/>
    <col min="7" max="7" width="9.28515625" style="1" bestFit="1" customWidth="1"/>
    <col min="8" max="8" width="13.42578125" style="1" customWidth="1"/>
    <col min="9" max="9" width="13.7109375" style="1" customWidth="1"/>
    <col min="10" max="10" width="9.28515625" style="1" bestFit="1" customWidth="1"/>
    <col min="11" max="11" width="12.7109375" style="22" hidden="1" customWidth="1"/>
    <col min="12" max="12" width="11.85546875" style="1" hidden="1" customWidth="1"/>
    <col min="13" max="13" width="12" style="1" hidden="1" customWidth="1"/>
    <col min="14" max="15" width="11.42578125" style="1" hidden="1" customWidth="1"/>
    <col min="16" max="16" width="10.28515625" style="1" hidden="1" customWidth="1"/>
    <col min="17" max="17" width="11.28515625" style="1" hidden="1" customWidth="1"/>
    <col min="18" max="18" width="10" style="1" hidden="1" customWidth="1"/>
    <col min="19" max="19" width="9.85546875" style="1" hidden="1" customWidth="1"/>
    <col min="20" max="20" width="12.28515625" style="1" hidden="1" customWidth="1"/>
    <col min="21" max="21" width="12.140625" style="1" hidden="1" customWidth="1"/>
    <col min="22" max="22" width="11.28515625" style="1" hidden="1" customWidth="1"/>
    <col min="23" max="23" width="12.140625" style="1" hidden="1" customWidth="1"/>
    <col min="24" max="24" width="11.28515625" style="1" hidden="1" customWidth="1"/>
    <col min="25" max="25" width="10.5703125" style="1" hidden="1" customWidth="1"/>
    <col min="26" max="27" width="12.140625" style="1" hidden="1" customWidth="1"/>
    <col min="28" max="28" width="11" style="1" hidden="1" customWidth="1"/>
    <col min="29" max="29" width="12.42578125" style="1" hidden="1" customWidth="1"/>
    <col min="30" max="31" width="11.28515625" style="1" hidden="1" customWidth="1"/>
    <col min="32" max="32" width="12.5703125" style="1" hidden="1" customWidth="1"/>
    <col min="33" max="38" width="0" style="1" hidden="1" customWidth="1"/>
    <col min="39" max="251" width="9.140625" style="1"/>
    <col min="252" max="252" width="2.140625" style="1" customWidth="1"/>
    <col min="253" max="253" width="8.7109375" style="1" customWidth="1"/>
    <col min="254" max="254" width="9.85546875" style="1" customWidth="1"/>
    <col min="255" max="255" width="1" style="1" customWidth="1"/>
    <col min="256" max="256" width="10.85546875" style="1" customWidth="1"/>
    <col min="257" max="257" width="1" style="1" customWidth="1"/>
    <col min="258" max="258" width="53.5703125" style="1" customWidth="1"/>
    <col min="259" max="260" width="22.85546875" style="1" customWidth="1"/>
    <col min="261" max="261" width="8.7109375" style="1" customWidth="1"/>
    <col min="262" max="262" width="14.140625" style="1" customWidth="1"/>
    <col min="263" max="507" width="9.140625" style="1"/>
    <col min="508" max="508" width="2.140625" style="1" customWidth="1"/>
    <col min="509" max="509" width="8.7109375" style="1" customWidth="1"/>
    <col min="510" max="510" width="9.85546875" style="1" customWidth="1"/>
    <col min="511" max="511" width="1" style="1" customWidth="1"/>
    <col min="512" max="512" width="10.85546875" style="1" customWidth="1"/>
    <col min="513" max="513" width="1" style="1" customWidth="1"/>
    <col min="514" max="514" width="53.5703125" style="1" customWidth="1"/>
    <col min="515" max="516" width="22.85546875" style="1" customWidth="1"/>
    <col min="517" max="517" width="8.7109375" style="1" customWidth="1"/>
    <col min="518" max="518" width="14.140625" style="1" customWidth="1"/>
    <col min="519" max="763" width="9.140625" style="1"/>
    <col min="764" max="764" width="2.140625" style="1" customWidth="1"/>
    <col min="765" max="765" width="8.7109375" style="1" customWidth="1"/>
    <col min="766" max="766" width="9.85546875" style="1" customWidth="1"/>
    <col min="767" max="767" width="1" style="1" customWidth="1"/>
    <col min="768" max="768" width="10.85546875" style="1" customWidth="1"/>
    <col min="769" max="769" width="1" style="1" customWidth="1"/>
    <col min="770" max="770" width="53.5703125" style="1" customWidth="1"/>
    <col min="771" max="772" width="22.85546875" style="1" customWidth="1"/>
    <col min="773" max="773" width="8.7109375" style="1" customWidth="1"/>
    <col min="774" max="774" width="14.140625" style="1" customWidth="1"/>
    <col min="775" max="1019" width="9.140625" style="1"/>
    <col min="1020" max="1020" width="2.140625" style="1" customWidth="1"/>
    <col min="1021" max="1021" width="8.7109375" style="1" customWidth="1"/>
    <col min="1022" max="1022" width="9.85546875" style="1" customWidth="1"/>
    <col min="1023" max="1023" width="1" style="1" customWidth="1"/>
    <col min="1024" max="1024" width="10.85546875" style="1" customWidth="1"/>
    <col min="1025" max="1025" width="1" style="1" customWidth="1"/>
    <col min="1026" max="1026" width="53.5703125" style="1" customWidth="1"/>
    <col min="1027" max="1028" width="22.85546875" style="1" customWidth="1"/>
    <col min="1029" max="1029" width="8.7109375" style="1" customWidth="1"/>
    <col min="1030" max="1030" width="14.140625" style="1" customWidth="1"/>
    <col min="1031" max="1275" width="9.140625" style="1"/>
    <col min="1276" max="1276" width="2.140625" style="1" customWidth="1"/>
    <col min="1277" max="1277" width="8.7109375" style="1" customWidth="1"/>
    <col min="1278" max="1278" width="9.85546875" style="1" customWidth="1"/>
    <col min="1279" max="1279" width="1" style="1" customWidth="1"/>
    <col min="1280" max="1280" width="10.85546875" style="1" customWidth="1"/>
    <col min="1281" max="1281" width="1" style="1" customWidth="1"/>
    <col min="1282" max="1282" width="53.5703125" style="1" customWidth="1"/>
    <col min="1283" max="1284" width="22.85546875" style="1" customWidth="1"/>
    <col min="1285" max="1285" width="8.7109375" style="1" customWidth="1"/>
    <col min="1286" max="1286" width="14.140625" style="1" customWidth="1"/>
    <col min="1287" max="1531" width="9.140625" style="1"/>
    <col min="1532" max="1532" width="2.140625" style="1" customWidth="1"/>
    <col min="1533" max="1533" width="8.7109375" style="1" customWidth="1"/>
    <col min="1534" max="1534" width="9.85546875" style="1" customWidth="1"/>
    <col min="1535" max="1535" width="1" style="1" customWidth="1"/>
    <col min="1536" max="1536" width="10.85546875" style="1" customWidth="1"/>
    <col min="1537" max="1537" width="1" style="1" customWidth="1"/>
    <col min="1538" max="1538" width="53.5703125" style="1" customWidth="1"/>
    <col min="1539" max="1540" width="22.85546875" style="1" customWidth="1"/>
    <col min="1541" max="1541" width="8.7109375" style="1" customWidth="1"/>
    <col min="1542" max="1542" width="14.140625" style="1" customWidth="1"/>
    <col min="1543" max="1787" width="9.140625" style="1"/>
    <col min="1788" max="1788" width="2.140625" style="1" customWidth="1"/>
    <col min="1789" max="1789" width="8.7109375" style="1" customWidth="1"/>
    <col min="1790" max="1790" width="9.85546875" style="1" customWidth="1"/>
    <col min="1791" max="1791" width="1" style="1" customWidth="1"/>
    <col min="1792" max="1792" width="10.85546875" style="1" customWidth="1"/>
    <col min="1793" max="1793" width="1" style="1" customWidth="1"/>
    <col min="1794" max="1794" width="53.5703125" style="1" customWidth="1"/>
    <col min="1795" max="1796" width="22.85546875" style="1" customWidth="1"/>
    <col min="1797" max="1797" width="8.7109375" style="1" customWidth="1"/>
    <col min="1798" max="1798" width="14.140625" style="1" customWidth="1"/>
    <col min="1799" max="2043" width="9.140625" style="1"/>
    <col min="2044" max="2044" width="2.140625" style="1" customWidth="1"/>
    <col min="2045" max="2045" width="8.7109375" style="1" customWidth="1"/>
    <col min="2046" max="2046" width="9.85546875" style="1" customWidth="1"/>
    <col min="2047" max="2047" width="1" style="1" customWidth="1"/>
    <col min="2048" max="2048" width="10.85546875" style="1" customWidth="1"/>
    <col min="2049" max="2049" width="1" style="1" customWidth="1"/>
    <col min="2050" max="2050" width="53.5703125" style="1" customWidth="1"/>
    <col min="2051" max="2052" width="22.85546875" style="1" customWidth="1"/>
    <col min="2053" max="2053" width="8.7109375" style="1" customWidth="1"/>
    <col min="2054" max="2054" width="14.140625" style="1" customWidth="1"/>
    <col min="2055" max="2299" width="9.140625" style="1"/>
    <col min="2300" max="2300" width="2.140625" style="1" customWidth="1"/>
    <col min="2301" max="2301" width="8.7109375" style="1" customWidth="1"/>
    <col min="2302" max="2302" width="9.85546875" style="1" customWidth="1"/>
    <col min="2303" max="2303" width="1" style="1" customWidth="1"/>
    <col min="2304" max="2304" width="10.85546875" style="1" customWidth="1"/>
    <col min="2305" max="2305" width="1" style="1" customWidth="1"/>
    <col min="2306" max="2306" width="53.5703125" style="1" customWidth="1"/>
    <col min="2307" max="2308" width="22.85546875" style="1" customWidth="1"/>
    <col min="2309" max="2309" width="8.7109375" style="1" customWidth="1"/>
    <col min="2310" max="2310" width="14.140625" style="1" customWidth="1"/>
    <col min="2311" max="2555" width="9.140625" style="1"/>
    <col min="2556" max="2556" width="2.140625" style="1" customWidth="1"/>
    <col min="2557" max="2557" width="8.7109375" style="1" customWidth="1"/>
    <col min="2558" max="2558" width="9.85546875" style="1" customWidth="1"/>
    <col min="2559" max="2559" width="1" style="1" customWidth="1"/>
    <col min="2560" max="2560" width="10.85546875" style="1" customWidth="1"/>
    <col min="2561" max="2561" width="1" style="1" customWidth="1"/>
    <col min="2562" max="2562" width="53.5703125" style="1" customWidth="1"/>
    <col min="2563" max="2564" width="22.85546875" style="1" customWidth="1"/>
    <col min="2565" max="2565" width="8.7109375" style="1" customWidth="1"/>
    <col min="2566" max="2566" width="14.140625" style="1" customWidth="1"/>
    <col min="2567" max="2811" width="9.140625" style="1"/>
    <col min="2812" max="2812" width="2.140625" style="1" customWidth="1"/>
    <col min="2813" max="2813" width="8.7109375" style="1" customWidth="1"/>
    <col min="2814" max="2814" width="9.85546875" style="1" customWidth="1"/>
    <col min="2815" max="2815" width="1" style="1" customWidth="1"/>
    <col min="2816" max="2816" width="10.85546875" style="1" customWidth="1"/>
    <col min="2817" max="2817" width="1" style="1" customWidth="1"/>
    <col min="2818" max="2818" width="53.5703125" style="1" customWidth="1"/>
    <col min="2819" max="2820" width="22.85546875" style="1" customWidth="1"/>
    <col min="2821" max="2821" width="8.7109375" style="1" customWidth="1"/>
    <col min="2822" max="2822" width="14.140625" style="1" customWidth="1"/>
    <col min="2823" max="3067" width="9.140625" style="1"/>
    <col min="3068" max="3068" width="2.140625" style="1" customWidth="1"/>
    <col min="3069" max="3069" width="8.7109375" style="1" customWidth="1"/>
    <col min="3070" max="3070" width="9.85546875" style="1" customWidth="1"/>
    <col min="3071" max="3071" width="1" style="1" customWidth="1"/>
    <col min="3072" max="3072" width="10.85546875" style="1" customWidth="1"/>
    <col min="3073" max="3073" width="1" style="1" customWidth="1"/>
    <col min="3074" max="3074" width="53.5703125" style="1" customWidth="1"/>
    <col min="3075" max="3076" width="22.85546875" style="1" customWidth="1"/>
    <col min="3077" max="3077" width="8.7109375" style="1" customWidth="1"/>
    <col min="3078" max="3078" width="14.140625" style="1" customWidth="1"/>
    <col min="3079" max="3323" width="9.140625" style="1"/>
    <col min="3324" max="3324" width="2.140625" style="1" customWidth="1"/>
    <col min="3325" max="3325" width="8.7109375" style="1" customWidth="1"/>
    <col min="3326" max="3326" width="9.85546875" style="1" customWidth="1"/>
    <col min="3327" max="3327" width="1" style="1" customWidth="1"/>
    <col min="3328" max="3328" width="10.85546875" style="1" customWidth="1"/>
    <col min="3329" max="3329" width="1" style="1" customWidth="1"/>
    <col min="3330" max="3330" width="53.5703125" style="1" customWidth="1"/>
    <col min="3331" max="3332" width="22.85546875" style="1" customWidth="1"/>
    <col min="3333" max="3333" width="8.7109375" style="1" customWidth="1"/>
    <col min="3334" max="3334" width="14.140625" style="1" customWidth="1"/>
    <col min="3335" max="3579" width="9.140625" style="1"/>
    <col min="3580" max="3580" width="2.140625" style="1" customWidth="1"/>
    <col min="3581" max="3581" width="8.7109375" style="1" customWidth="1"/>
    <col min="3582" max="3582" width="9.85546875" style="1" customWidth="1"/>
    <col min="3583" max="3583" width="1" style="1" customWidth="1"/>
    <col min="3584" max="3584" width="10.85546875" style="1" customWidth="1"/>
    <col min="3585" max="3585" width="1" style="1" customWidth="1"/>
    <col min="3586" max="3586" width="53.5703125" style="1" customWidth="1"/>
    <col min="3587" max="3588" width="22.85546875" style="1" customWidth="1"/>
    <col min="3589" max="3589" width="8.7109375" style="1" customWidth="1"/>
    <col min="3590" max="3590" width="14.140625" style="1" customWidth="1"/>
    <col min="3591" max="3835" width="9.140625" style="1"/>
    <col min="3836" max="3836" width="2.140625" style="1" customWidth="1"/>
    <col min="3837" max="3837" width="8.7109375" style="1" customWidth="1"/>
    <col min="3838" max="3838" width="9.85546875" style="1" customWidth="1"/>
    <col min="3839" max="3839" width="1" style="1" customWidth="1"/>
    <col min="3840" max="3840" width="10.85546875" style="1" customWidth="1"/>
    <col min="3841" max="3841" width="1" style="1" customWidth="1"/>
    <col min="3842" max="3842" width="53.5703125" style="1" customWidth="1"/>
    <col min="3843" max="3844" width="22.85546875" style="1" customWidth="1"/>
    <col min="3845" max="3845" width="8.7109375" style="1" customWidth="1"/>
    <col min="3846" max="3846" width="14.140625" style="1" customWidth="1"/>
    <col min="3847" max="4091" width="9.140625" style="1"/>
    <col min="4092" max="4092" width="2.140625" style="1" customWidth="1"/>
    <col min="4093" max="4093" width="8.7109375" style="1" customWidth="1"/>
    <col min="4094" max="4094" width="9.85546875" style="1" customWidth="1"/>
    <col min="4095" max="4095" width="1" style="1" customWidth="1"/>
    <col min="4096" max="4096" width="10.85546875" style="1" customWidth="1"/>
    <col min="4097" max="4097" width="1" style="1" customWidth="1"/>
    <col min="4098" max="4098" width="53.5703125" style="1" customWidth="1"/>
    <col min="4099" max="4100" width="22.85546875" style="1" customWidth="1"/>
    <col min="4101" max="4101" width="8.7109375" style="1" customWidth="1"/>
    <col min="4102" max="4102" width="14.140625" style="1" customWidth="1"/>
    <col min="4103" max="4347" width="9.140625" style="1"/>
    <col min="4348" max="4348" width="2.140625" style="1" customWidth="1"/>
    <col min="4349" max="4349" width="8.7109375" style="1" customWidth="1"/>
    <col min="4350" max="4350" width="9.85546875" style="1" customWidth="1"/>
    <col min="4351" max="4351" width="1" style="1" customWidth="1"/>
    <col min="4352" max="4352" width="10.85546875" style="1" customWidth="1"/>
    <col min="4353" max="4353" width="1" style="1" customWidth="1"/>
    <col min="4354" max="4354" width="53.5703125" style="1" customWidth="1"/>
    <col min="4355" max="4356" width="22.85546875" style="1" customWidth="1"/>
    <col min="4357" max="4357" width="8.7109375" style="1" customWidth="1"/>
    <col min="4358" max="4358" width="14.140625" style="1" customWidth="1"/>
    <col min="4359" max="4603" width="9.140625" style="1"/>
    <col min="4604" max="4604" width="2.140625" style="1" customWidth="1"/>
    <col min="4605" max="4605" width="8.7109375" style="1" customWidth="1"/>
    <col min="4606" max="4606" width="9.85546875" style="1" customWidth="1"/>
    <col min="4607" max="4607" width="1" style="1" customWidth="1"/>
    <col min="4608" max="4608" width="10.85546875" style="1" customWidth="1"/>
    <col min="4609" max="4609" width="1" style="1" customWidth="1"/>
    <col min="4610" max="4610" width="53.5703125" style="1" customWidth="1"/>
    <col min="4611" max="4612" width="22.85546875" style="1" customWidth="1"/>
    <col min="4613" max="4613" width="8.7109375" style="1" customWidth="1"/>
    <col min="4614" max="4614" width="14.140625" style="1" customWidth="1"/>
    <col min="4615" max="4859" width="9.140625" style="1"/>
    <col min="4860" max="4860" width="2.140625" style="1" customWidth="1"/>
    <col min="4861" max="4861" width="8.7109375" style="1" customWidth="1"/>
    <col min="4862" max="4862" width="9.85546875" style="1" customWidth="1"/>
    <col min="4863" max="4863" width="1" style="1" customWidth="1"/>
    <col min="4864" max="4864" width="10.85546875" style="1" customWidth="1"/>
    <col min="4865" max="4865" width="1" style="1" customWidth="1"/>
    <col min="4866" max="4866" width="53.5703125" style="1" customWidth="1"/>
    <col min="4867" max="4868" width="22.85546875" style="1" customWidth="1"/>
    <col min="4869" max="4869" width="8.7109375" style="1" customWidth="1"/>
    <col min="4870" max="4870" width="14.140625" style="1" customWidth="1"/>
    <col min="4871" max="5115" width="9.140625" style="1"/>
    <col min="5116" max="5116" width="2.140625" style="1" customWidth="1"/>
    <col min="5117" max="5117" width="8.7109375" style="1" customWidth="1"/>
    <col min="5118" max="5118" width="9.85546875" style="1" customWidth="1"/>
    <col min="5119" max="5119" width="1" style="1" customWidth="1"/>
    <col min="5120" max="5120" width="10.85546875" style="1" customWidth="1"/>
    <col min="5121" max="5121" width="1" style="1" customWidth="1"/>
    <col min="5122" max="5122" width="53.5703125" style="1" customWidth="1"/>
    <col min="5123" max="5124" width="22.85546875" style="1" customWidth="1"/>
    <col min="5125" max="5125" width="8.7109375" style="1" customWidth="1"/>
    <col min="5126" max="5126" width="14.140625" style="1" customWidth="1"/>
    <col min="5127" max="5371" width="9.140625" style="1"/>
    <col min="5372" max="5372" width="2.140625" style="1" customWidth="1"/>
    <col min="5373" max="5373" width="8.7109375" style="1" customWidth="1"/>
    <col min="5374" max="5374" width="9.85546875" style="1" customWidth="1"/>
    <col min="5375" max="5375" width="1" style="1" customWidth="1"/>
    <col min="5376" max="5376" width="10.85546875" style="1" customWidth="1"/>
    <col min="5377" max="5377" width="1" style="1" customWidth="1"/>
    <col min="5378" max="5378" width="53.5703125" style="1" customWidth="1"/>
    <col min="5379" max="5380" width="22.85546875" style="1" customWidth="1"/>
    <col min="5381" max="5381" width="8.7109375" style="1" customWidth="1"/>
    <col min="5382" max="5382" width="14.140625" style="1" customWidth="1"/>
    <col min="5383" max="5627" width="9.140625" style="1"/>
    <col min="5628" max="5628" width="2.140625" style="1" customWidth="1"/>
    <col min="5629" max="5629" width="8.7109375" style="1" customWidth="1"/>
    <col min="5630" max="5630" width="9.85546875" style="1" customWidth="1"/>
    <col min="5631" max="5631" width="1" style="1" customWidth="1"/>
    <col min="5632" max="5632" width="10.85546875" style="1" customWidth="1"/>
    <col min="5633" max="5633" width="1" style="1" customWidth="1"/>
    <col min="5634" max="5634" width="53.5703125" style="1" customWidth="1"/>
    <col min="5635" max="5636" width="22.85546875" style="1" customWidth="1"/>
    <col min="5637" max="5637" width="8.7109375" style="1" customWidth="1"/>
    <col min="5638" max="5638" width="14.140625" style="1" customWidth="1"/>
    <col min="5639" max="5883" width="9.140625" style="1"/>
    <col min="5884" max="5884" width="2.140625" style="1" customWidth="1"/>
    <col min="5885" max="5885" width="8.7109375" style="1" customWidth="1"/>
    <col min="5886" max="5886" width="9.85546875" style="1" customWidth="1"/>
    <col min="5887" max="5887" width="1" style="1" customWidth="1"/>
    <col min="5888" max="5888" width="10.85546875" style="1" customWidth="1"/>
    <col min="5889" max="5889" width="1" style="1" customWidth="1"/>
    <col min="5890" max="5890" width="53.5703125" style="1" customWidth="1"/>
    <col min="5891" max="5892" width="22.85546875" style="1" customWidth="1"/>
    <col min="5893" max="5893" width="8.7109375" style="1" customWidth="1"/>
    <col min="5894" max="5894" width="14.140625" style="1" customWidth="1"/>
    <col min="5895" max="6139" width="9.140625" style="1"/>
    <col min="6140" max="6140" width="2.140625" style="1" customWidth="1"/>
    <col min="6141" max="6141" width="8.7109375" style="1" customWidth="1"/>
    <col min="6142" max="6142" width="9.85546875" style="1" customWidth="1"/>
    <col min="6143" max="6143" width="1" style="1" customWidth="1"/>
    <col min="6144" max="6144" width="10.85546875" style="1" customWidth="1"/>
    <col min="6145" max="6145" width="1" style="1" customWidth="1"/>
    <col min="6146" max="6146" width="53.5703125" style="1" customWidth="1"/>
    <col min="6147" max="6148" width="22.85546875" style="1" customWidth="1"/>
    <col min="6149" max="6149" width="8.7109375" style="1" customWidth="1"/>
    <col min="6150" max="6150" width="14.140625" style="1" customWidth="1"/>
    <col min="6151" max="6395" width="9.140625" style="1"/>
    <col min="6396" max="6396" width="2.140625" style="1" customWidth="1"/>
    <col min="6397" max="6397" width="8.7109375" style="1" customWidth="1"/>
    <col min="6398" max="6398" width="9.85546875" style="1" customWidth="1"/>
    <col min="6399" max="6399" width="1" style="1" customWidth="1"/>
    <col min="6400" max="6400" width="10.85546875" style="1" customWidth="1"/>
    <col min="6401" max="6401" width="1" style="1" customWidth="1"/>
    <col min="6402" max="6402" width="53.5703125" style="1" customWidth="1"/>
    <col min="6403" max="6404" width="22.85546875" style="1" customWidth="1"/>
    <col min="6405" max="6405" width="8.7109375" style="1" customWidth="1"/>
    <col min="6406" max="6406" width="14.140625" style="1" customWidth="1"/>
    <col min="6407" max="6651" width="9.140625" style="1"/>
    <col min="6652" max="6652" width="2.140625" style="1" customWidth="1"/>
    <col min="6653" max="6653" width="8.7109375" style="1" customWidth="1"/>
    <col min="6654" max="6654" width="9.85546875" style="1" customWidth="1"/>
    <col min="6655" max="6655" width="1" style="1" customWidth="1"/>
    <col min="6656" max="6656" width="10.85546875" style="1" customWidth="1"/>
    <col min="6657" max="6657" width="1" style="1" customWidth="1"/>
    <col min="6658" max="6658" width="53.5703125" style="1" customWidth="1"/>
    <col min="6659" max="6660" width="22.85546875" style="1" customWidth="1"/>
    <col min="6661" max="6661" width="8.7109375" style="1" customWidth="1"/>
    <col min="6662" max="6662" width="14.140625" style="1" customWidth="1"/>
    <col min="6663" max="6907" width="9.140625" style="1"/>
    <col min="6908" max="6908" width="2.140625" style="1" customWidth="1"/>
    <col min="6909" max="6909" width="8.7109375" style="1" customWidth="1"/>
    <col min="6910" max="6910" width="9.85546875" style="1" customWidth="1"/>
    <col min="6911" max="6911" width="1" style="1" customWidth="1"/>
    <col min="6912" max="6912" width="10.85546875" style="1" customWidth="1"/>
    <col min="6913" max="6913" width="1" style="1" customWidth="1"/>
    <col min="6914" max="6914" width="53.5703125" style="1" customWidth="1"/>
    <col min="6915" max="6916" width="22.85546875" style="1" customWidth="1"/>
    <col min="6917" max="6917" width="8.7109375" style="1" customWidth="1"/>
    <col min="6918" max="6918" width="14.140625" style="1" customWidth="1"/>
    <col min="6919" max="7163" width="9.140625" style="1"/>
    <col min="7164" max="7164" width="2.140625" style="1" customWidth="1"/>
    <col min="7165" max="7165" width="8.7109375" style="1" customWidth="1"/>
    <col min="7166" max="7166" width="9.85546875" style="1" customWidth="1"/>
    <col min="7167" max="7167" width="1" style="1" customWidth="1"/>
    <col min="7168" max="7168" width="10.85546875" style="1" customWidth="1"/>
    <col min="7169" max="7169" width="1" style="1" customWidth="1"/>
    <col min="7170" max="7170" width="53.5703125" style="1" customWidth="1"/>
    <col min="7171" max="7172" width="22.85546875" style="1" customWidth="1"/>
    <col min="7173" max="7173" width="8.7109375" style="1" customWidth="1"/>
    <col min="7174" max="7174" width="14.140625" style="1" customWidth="1"/>
    <col min="7175" max="7419" width="9.140625" style="1"/>
    <col min="7420" max="7420" width="2.140625" style="1" customWidth="1"/>
    <col min="7421" max="7421" width="8.7109375" style="1" customWidth="1"/>
    <col min="7422" max="7422" width="9.85546875" style="1" customWidth="1"/>
    <col min="7423" max="7423" width="1" style="1" customWidth="1"/>
    <col min="7424" max="7424" width="10.85546875" style="1" customWidth="1"/>
    <col min="7425" max="7425" width="1" style="1" customWidth="1"/>
    <col min="7426" max="7426" width="53.5703125" style="1" customWidth="1"/>
    <col min="7427" max="7428" width="22.85546875" style="1" customWidth="1"/>
    <col min="7429" max="7429" width="8.7109375" style="1" customWidth="1"/>
    <col min="7430" max="7430" width="14.140625" style="1" customWidth="1"/>
    <col min="7431" max="7675" width="9.140625" style="1"/>
    <col min="7676" max="7676" width="2.140625" style="1" customWidth="1"/>
    <col min="7677" max="7677" width="8.7109375" style="1" customWidth="1"/>
    <col min="7678" max="7678" width="9.85546875" style="1" customWidth="1"/>
    <col min="7679" max="7679" width="1" style="1" customWidth="1"/>
    <col min="7680" max="7680" width="10.85546875" style="1" customWidth="1"/>
    <col min="7681" max="7681" width="1" style="1" customWidth="1"/>
    <col min="7682" max="7682" width="53.5703125" style="1" customWidth="1"/>
    <col min="7683" max="7684" width="22.85546875" style="1" customWidth="1"/>
    <col min="7685" max="7685" width="8.7109375" style="1" customWidth="1"/>
    <col min="7686" max="7686" width="14.140625" style="1" customWidth="1"/>
    <col min="7687" max="7931" width="9.140625" style="1"/>
    <col min="7932" max="7932" width="2.140625" style="1" customWidth="1"/>
    <col min="7933" max="7933" width="8.7109375" style="1" customWidth="1"/>
    <col min="7934" max="7934" width="9.85546875" style="1" customWidth="1"/>
    <col min="7935" max="7935" width="1" style="1" customWidth="1"/>
    <col min="7936" max="7936" width="10.85546875" style="1" customWidth="1"/>
    <col min="7937" max="7937" width="1" style="1" customWidth="1"/>
    <col min="7938" max="7938" width="53.5703125" style="1" customWidth="1"/>
    <col min="7939" max="7940" width="22.85546875" style="1" customWidth="1"/>
    <col min="7941" max="7941" width="8.7109375" style="1" customWidth="1"/>
    <col min="7942" max="7942" width="14.140625" style="1" customWidth="1"/>
    <col min="7943" max="8187" width="9.140625" style="1"/>
    <col min="8188" max="8188" width="2.140625" style="1" customWidth="1"/>
    <col min="8189" max="8189" width="8.7109375" style="1" customWidth="1"/>
    <col min="8190" max="8190" width="9.85546875" style="1" customWidth="1"/>
    <col min="8191" max="8191" width="1" style="1" customWidth="1"/>
    <col min="8192" max="8192" width="10.85546875" style="1" customWidth="1"/>
    <col min="8193" max="8193" width="1" style="1" customWidth="1"/>
    <col min="8194" max="8194" width="53.5703125" style="1" customWidth="1"/>
    <col min="8195" max="8196" width="22.85546875" style="1" customWidth="1"/>
    <col min="8197" max="8197" width="8.7109375" style="1" customWidth="1"/>
    <col min="8198" max="8198" width="14.140625" style="1" customWidth="1"/>
    <col min="8199" max="8443" width="9.140625" style="1"/>
    <col min="8444" max="8444" width="2.140625" style="1" customWidth="1"/>
    <col min="8445" max="8445" width="8.7109375" style="1" customWidth="1"/>
    <col min="8446" max="8446" width="9.85546875" style="1" customWidth="1"/>
    <col min="8447" max="8447" width="1" style="1" customWidth="1"/>
    <col min="8448" max="8448" width="10.85546875" style="1" customWidth="1"/>
    <col min="8449" max="8449" width="1" style="1" customWidth="1"/>
    <col min="8450" max="8450" width="53.5703125" style="1" customWidth="1"/>
    <col min="8451" max="8452" width="22.85546875" style="1" customWidth="1"/>
    <col min="8453" max="8453" width="8.7109375" style="1" customWidth="1"/>
    <col min="8454" max="8454" width="14.140625" style="1" customWidth="1"/>
    <col min="8455" max="8699" width="9.140625" style="1"/>
    <col min="8700" max="8700" width="2.140625" style="1" customWidth="1"/>
    <col min="8701" max="8701" width="8.7109375" style="1" customWidth="1"/>
    <col min="8702" max="8702" width="9.85546875" style="1" customWidth="1"/>
    <col min="8703" max="8703" width="1" style="1" customWidth="1"/>
    <col min="8704" max="8704" width="10.85546875" style="1" customWidth="1"/>
    <col min="8705" max="8705" width="1" style="1" customWidth="1"/>
    <col min="8706" max="8706" width="53.5703125" style="1" customWidth="1"/>
    <col min="8707" max="8708" width="22.85546875" style="1" customWidth="1"/>
    <col min="8709" max="8709" width="8.7109375" style="1" customWidth="1"/>
    <col min="8710" max="8710" width="14.140625" style="1" customWidth="1"/>
    <col min="8711" max="8955" width="9.140625" style="1"/>
    <col min="8956" max="8956" width="2.140625" style="1" customWidth="1"/>
    <col min="8957" max="8957" width="8.7109375" style="1" customWidth="1"/>
    <col min="8958" max="8958" width="9.85546875" style="1" customWidth="1"/>
    <col min="8959" max="8959" width="1" style="1" customWidth="1"/>
    <col min="8960" max="8960" width="10.85546875" style="1" customWidth="1"/>
    <col min="8961" max="8961" width="1" style="1" customWidth="1"/>
    <col min="8962" max="8962" width="53.5703125" style="1" customWidth="1"/>
    <col min="8963" max="8964" width="22.85546875" style="1" customWidth="1"/>
    <col min="8965" max="8965" width="8.7109375" style="1" customWidth="1"/>
    <col min="8966" max="8966" width="14.140625" style="1" customWidth="1"/>
    <col min="8967" max="9211" width="9.140625" style="1"/>
    <col min="9212" max="9212" width="2.140625" style="1" customWidth="1"/>
    <col min="9213" max="9213" width="8.7109375" style="1" customWidth="1"/>
    <col min="9214" max="9214" width="9.85546875" style="1" customWidth="1"/>
    <col min="9215" max="9215" width="1" style="1" customWidth="1"/>
    <col min="9216" max="9216" width="10.85546875" style="1" customWidth="1"/>
    <col min="9217" max="9217" width="1" style="1" customWidth="1"/>
    <col min="9218" max="9218" width="53.5703125" style="1" customWidth="1"/>
    <col min="9219" max="9220" width="22.85546875" style="1" customWidth="1"/>
    <col min="9221" max="9221" width="8.7109375" style="1" customWidth="1"/>
    <col min="9222" max="9222" width="14.140625" style="1" customWidth="1"/>
    <col min="9223" max="9467" width="9.140625" style="1"/>
    <col min="9468" max="9468" width="2.140625" style="1" customWidth="1"/>
    <col min="9469" max="9469" width="8.7109375" style="1" customWidth="1"/>
    <col min="9470" max="9470" width="9.85546875" style="1" customWidth="1"/>
    <col min="9471" max="9471" width="1" style="1" customWidth="1"/>
    <col min="9472" max="9472" width="10.85546875" style="1" customWidth="1"/>
    <col min="9473" max="9473" width="1" style="1" customWidth="1"/>
    <col min="9474" max="9474" width="53.5703125" style="1" customWidth="1"/>
    <col min="9475" max="9476" width="22.85546875" style="1" customWidth="1"/>
    <col min="9477" max="9477" width="8.7109375" style="1" customWidth="1"/>
    <col min="9478" max="9478" width="14.140625" style="1" customWidth="1"/>
    <col min="9479" max="9723" width="9.140625" style="1"/>
    <col min="9724" max="9724" width="2.140625" style="1" customWidth="1"/>
    <col min="9725" max="9725" width="8.7109375" style="1" customWidth="1"/>
    <col min="9726" max="9726" width="9.85546875" style="1" customWidth="1"/>
    <col min="9727" max="9727" width="1" style="1" customWidth="1"/>
    <col min="9728" max="9728" width="10.85546875" style="1" customWidth="1"/>
    <col min="9729" max="9729" width="1" style="1" customWidth="1"/>
    <col min="9730" max="9730" width="53.5703125" style="1" customWidth="1"/>
    <col min="9731" max="9732" width="22.85546875" style="1" customWidth="1"/>
    <col min="9733" max="9733" width="8.7109375" style="1" customWidth="1"/>
    <col min="9734" max="9734" width="14.140625" style="1" customWidth="1"/>
    <col min="9735" max="9979" width="9.140625" style="1"/>
    <col min="9980" max="9980" width="2.140625" style="1" customWidth="1"/>
    <col min="9981" max="9981" width="8.7109375" style="1" customWidth="1"/>
    <col min="9982" max="9982" width="9.85546875" style="1" customWidth="1"/>
    <col min="9983" max="9983" width="1" style="1" customWidth="1"/>
    <col min="9984" max="9984" width="10.85546875" style="1" customWidth="1"/>
    <col min="9985" max="9985" width="1" style="1" customWidth="1"/>
    <col min="9986" max="9986" width="53.5703125" style="1" customWidth="1"/>
    <col min="9987" max="9988" width="22.85546875" style="1" customWidth="1"/>
    <col min="9989" max="9989" width="8.7109375" style="1" customWidth="1"/>
    <col min="9990" max="9990" width="14.140625" style="1" customWidth="1"/>
    <col min="9991" max="10235" width="9.140625" style="1"/>
    <col min="10236" max="10236" width="2.140625" style="1" customWidth="1"/>
    <col min="10237" max="10237" width="8.7109375" style="1" customWidth="1"/>
    <col min="10238" max="10238" width="9.85546875" style="1" customWidth="1"/>
    <col min="10239" max="10239" width="1" style="1" customWidth="1"/>
    <col min="10240" max="10240" width="10.85546875" style="1" customWidth="1"/>
    <col min="10241" max="10241" width="1" style="1" customWidth="1"/>
    <col min="10242" max="10242" width="53.5703125" style="1" customWidth="1"/>
    <col min="10243" max="10244" width="22.85546875" style="1" customWidth="1"/>
    <col min="10245" max="10245" width="8.7109375" style="1" customWidth="1"/>
    <col min="10246" max="10246" width="14.140625" style="1" customWidth="1"/>
    <col min="10247" max="10491" width="9.140625" style="1"/>
    <col min="10492" max="10492" width="2.140625" style="1" customWidth="1"/>
    <col min="10493" max="10493" width="8.7109375" style="1" customWidth="1"/>
    <col min="10494" max="10494" width="9.85546875" style="1" customWidth="1"/>
    <col min="10495" max="10495" width="1" style="1" customWidth="1"/>
    <col min="10496" max="10496" width="10.85546875" style="1" customWidth="1"/>
    <col min="10497" max="10497" width="1" style="1" customWidth="1"/>
    <col min="10498" max="10498" width="53.5703125" style="1" customWidth="1"/>
    <col min="10499" max="10500" width="22.85546875" style="1" customWidth="1"/>
    <col min="10501" max="10501" width="8.7109375" style="1" customWidth="1"/>
    <col min="10502" max="10502" width="14.140625" style="1" customWidth="1"/>
    <col min="10503" max="10747" width="9.140625" style="1"/>
    <col min="10748" max="10748" width="2.140625" style="1" customWidth="1"/>
    <col min="10749" max="10749" width="8.7109375" style="1" customWidth="1"/>
    <col min="10750" max="10750" width="9.85546875" style="1" customWidth="1"/>
    <col min="10751" max="10751" width="1" style="1" customWidth="1"/>
    <col min="10752" max="10752" width="10.85546875" style="1" customWidth="1"/>
    <col min="10753" max="10753" width="1" style="1" customWidth="1"/>
    <col min="10754" max="10754" width="53.5703125" style="1" customWidth="1"/>
    <col min="10755" max="10756" width="22.85546875" style="1" customWidth="1"/>
    <col min="10757" max="10757" width="8.7109375" style="1" customWidth="1"/>
    <col min="10758" max="10758" width="14.140625" style="1" customWidth="1"/>
    <col min="10759" max="11003" width="9.140625" style="1"/>
    <col min="11004" max="11004" width="2.140625" style="1" customWidth="1"/>
    <col min="11005" max="11005" width="8.7109375" style="1" customWidth="1"/>
    <col min="11006" max="11006" width="9.85546875" style="1" customWidth="1"/>
    <col min="11007" max="11007" width="1" style="1" customWidth="1"/>
    <col min="11008" max="11008" width="10.85546875" style="1" customWidth="1"/>
    <col min="11009" max="11009" width="1" style="1" customWidth="1"/>
    <col min="11010" max="11010" width="53.5703125" style="1" customWidth="1"/>
    <col min="11011" max="11012" width="22.85546875" style="1" customWidth="1"/>
    <col min="11013" max="11013" width="8.7109375" style="1" customWidth="1"/>
    <col min="11014" max="11014" width="14.140625" style="1" customWidth="1"/>
    <col min="11015" max="11259" width="9.140625" style="1"/>
    <col min="11260" max="11260" width="2.140625" style="1" customWidth="1"/>
    <col min="11261" max="11261" width="8.7109375" style="1" customWidth="1"/>
    <col min="11262" max="11262" width="9.85546875" style="1" customWidth="1"/>
    <col min="11263" max="11263" width="1" style="1" customWidth="1"/>
    <col min="11264" max="11264" width="10.85546875" style="1" customWidth="1"/>
    <col min="11265" max="11265" width="1" style="1" customWidth="1"/>
    <col min="11266" max="11266" width="53.5703125" style="1" customWidth="1"/>
    <col min="11267" max="11268" width="22.85546875" style="1" customWidth="1"/>
    <col min="11269" max="11269" width="8.7109375" style="1" customWidth="1"/>
    <col min="11270" max="11270" width="14.140625" style="1" customWidth="1"/>
    <col min="11271" max="11515" width="9.140625" style="1"/>
    <col min="11516" max="11516" width="2.140625" style="1" customWidth="1"/>
    <col min="11517" max="11517" width="8.7109375" style="1" customWidth="1"/>
    <col min="11518" max="11518" width="9.85546875" style="1" customWidth="1"/>
    <col min="11519" max="11519" width="1" style="1" customWidth="1"/>
    <col min="11520" max="11520" width="10.85546875" style="1" customWidth="1"/>
    <col min="11521" max="11521" width="1" style="1" customWidth="1"/>
    <col min="11522" max="11522" width="53.5703125" style="1" customWidth="1"/>
    <col min="11523" max="11524" width="22.85546875" style="1" customWidth="1"/>
    <col min="11525" max="11525" width="8.7109375" style="1" customWidth="1"/>
    <col min="11526" max="11526" width="14.140625" style="1" customWidth="1"/>
    <col min="11527" max="11771" width="9.140625" style="1"/>
    <col min="11772" max="11772" width="2.140625" style="1" customWidth="1"/>
    <col min="11773" max="11773" width="8.7109375" style="1" customWidth="1"/>
    <col min="11774" max="11774" width="9.85546875" style="1" customWidth="1"/>
    <col min="11775" max="11775" width="1" style="1" customWidth="1"/>
    <col min="11776" max="11776" width="10.85546875" style="1" customWidth="1"/>
    <col min="11777" max="11777" width="1" style="1" customWidth="1"/>
    <col min="11778" max="11778" width="53.5703125" style="1" customWidth="1"/>
    <col min="11779" max="11780" width="22.85546875" style="1" customWidth="1"/>
    <col min="11781" max="11781" width="8.7109375" style="1" customWidth="1"/>
    <col min="11782" max="11782" width="14.140625" style="1" customWidth="1"/>
    <col min="11783" max="12027" width="9.140625" style="1"/>
    <col min="12028" max="12028" width="2.140625" style="1" customWidth="1"/>
    <col min="12029" max="12029" width="8.7109375" style="1" customWidth="1"/>
    <col min="12030" max="12030" width="9.85546875" style="1" customWidth="1"/>
    <col min="12031" max="12031" width="1" style="1" customWidth="1"/>
    <col min="12032" max="12032" width="10.85546875" style="1" customWidth="1"/>
    <col min="12033" max="12033" width="1" style="1" customWidth="1"/>
    <col min="12034" max="12034" width="53.5703125" style="1" customWidth="1"/>
    <col min="12035" max="12036" width="22.85546875" style="1" customWidth="1"/>
    <col min="12037" max="12037" width="8.7109375" style="1" customWidth="1"/>
    <col min="12038" max="12038" width="14.140625" style="1" customWidth="1"/>
    <col min="12039" max="12283" width="9.140625" style="1"/>
    <col min="12284" max="12284" width="2.140625" style="1" customWidth="1"/>
    <col min="12285" max="12285" width="8.7109375" style="1" customWidth="1"/>
    <col min="12286" max="12286" width="9.85546875" style="1" customWidth="1"/>
    <col min="12287" max="12287" width="1" style="1" customWidth="1"/>
    <col min="12288" max="12288" width="10.85546875" style="1" customWidth="1"/>
    <col min="12289" max="12289" width="1" style="1" customWidth="1"/>
    <col min="12290" max="12290" width="53.5703125" style="1" customWidth="1"/>
    <col min="12291" max="12292" width="22.85546875" style="1" customWidth="1"/>
    <col min="12293" max="12293" width="8.7109375" style="1" customWidth="1"/>
    <col min="12294" max="12294" width="14.140625" style="1" customWidth="1"/>
    <col min="12295" max="12539" width="9.140625" style="1"/>
    <col min="12540" max="12540" width="2.140625" style="1" customWidth="1"/>
    <col min="12541" max="12541" width="8.7109375" style="1" customWidth="1"/>
    <col min="12542" max="12542" width="9.85546875" style="1" customWidth="1"/>
    <col min="12543" max="12543" width="1" style="1" customWidth="1"/>
    <col min="12544" max="12544" width="10.85546875" style="1" customWidth="1"/>
    <col min="12545" max="12545" width="1" style="1" customWidth="1"/>
    <col min="12546" max="12546" width="53.5703125" style="1" customWidth="1"/>
    <col min="12547" max="12548" width="22.85546875" style="1" customWidth="1"/>
    <col min="12549" max="12549" width="8.7109375" style="1" customWidth="1"/>
    <col min="12550" max="12550" width="14.140625" style="1" customWidth="1"/>
    <col min="12551" max="12795" width="9.140625" style="1"/>
    <col min="12796" max="12796" width="2.140625" style="1" customWidth="1"/>
    <col min="12797" max="12797" width="8.7109375" style="1" customWidth="1"/>
    <col min="12798" max="12798" width="9.85546875" style="1" customWidth="1"/>
    <col min="12799" max="12799" width="1" style="1" customWidth="1"/>
    <col min="12800" max="12800" width="10.85546875" style="1" customWidth="1"/>
    <col min="12801" max="12801" width="1" style="1" customWidth="1"/>
    <col min="12802" max="12802" width="53.5703125" style="1" customWidth="1"/>
    <col min="12803" max="12804" width="22.85546875" style="1" customWidth="1"/>
    <col min="12805" max="12805" width="8.7109375" style="1" customWidth="1"/>
    <col min="12806" max="12806" width="14.140625" style="1" customWidth="1"/>
    <col min="12807" max="13051" width="9.140625" style="1"/>
    <col min="13052" max="13052" width="2.140625" style="1" customWidth="1"/>
    <col min="13053" max="13053" width="8.7109375" style="1" customWidth="1"/>
    <col min="13054" max="13054" width="9.85546875" style="1" customWidth="1"/>
    <col min="13055" max="13055" width="1" style="1" customWidth="1"/>
    <col min="13056" max="13056" width="10.85546875" style="1" customWidth="1"/>
    <col min="13057" max="13057" width="1" style="1" customWidth="1"/>
    <col min="13058" max="13058" width="53.5703125" style="1" customWidth="1"/>
    <col min="13059" max="13060" width="22.85546875" style="1" customWidth="1"/>
    <col min="13061" max="13061" width="8.7109375" style="1" customWidth="1"/>
    <col min="13062" max="13062" width="14.140625" style="1" customWidth="1"/>
    <col min="13063" max="13307" width="9.140625" style="1"/>
    <col min="13308" max="13308" width="2.140625" style="1" customWidth="1"/>
    <col min="13309" max="13309" width="8.7109375" style="1" customWidth="1"/>
    <col min="13310" max="13310" width="9.85546875" style="1" customWidth="1"/>
    <col min="13311" max="13311" width="1" style="1" customWidth="1"/>
    <col min="13312" max="13312" width="10.85546875" style="1" customWidth="1"/>
    <col min="13313" max="13313" width="1" style="1" customWidth="1"/>
    <col min="13314" max="13314" width="53.5703125" style="1" customWidth="1"/>
    <col min="13315" max="13316" width="22.85546875" style="1" customWidth="1"/>
    <col min="13317" max="13317" width="8.7109375" style="1" customWidth="1"/>
    <col min="13318" max="13318" width="14.140625" style="1" customWidth="1"/>
    <col min="13319" max="13563" width="9.140625" style="1"/>
    <col min="13564" max="13564" width="2.140625" style="1" customWidth="1"/>
    <col min="13565" max="13565" width="8.7109375" style="1" customWidth="1"/>
    <col min="13566" max="13566" width="9.85546875" style="1" customWidth="1"/>
    <col min="13567" max="13567" width="1" style="1" customWidth="1"/>
    <col min="13568" max="13568" width="10.85546875" style="1" customWidth="1"/>
    <col min="13569" max="13569" width="1" style="1" customWidth="1"/>
    <col min="13570" max="13570" width="53.5703125" style="1" customWidth="1"/>
    <col min="13571" max="13572" width="22.85546875" style="1" customWidth="1"/>
    <col min="13573" max="13573" width="8.7109375" style="1" customWidth="1"/>
    <col min="13574" max="13574" width="14.140625" style="1" customWidth="1"/>
    <col min="13575" max="13819" width="9.140625" style="1"/>
    <col min="13820" max="13820" width="2.140625" style="1" customWidth="1"/>
    <col min="13821" max="13821" width="8.7109375" style="1" customWidth="1"/>
    <col min="13822" max="13822" width="9.85546875" style="1" customWidth="1"/>
    <col min="13823" max="13823" width="1" style="1" customWidth="1"/>
    <col min="13824" max="13824" width="10.85546875" style="1" customWidth="1"/>
    <col min="13825" max="13825" width="1" style="1" customWidth="1"/>
    <col min="13826" max="13826" width="53.5703125" style="1" customWidth="1"/>
    <col min="13827" max="13828" width="22.85546875" style="1" customWidth="1"/>
    <col min="13829" max="13829" width="8.7109375" style="1" customWidth="1"/>
    <col min="13830" max="13830" width="14.140625" style="1" customWidth="1"/>
    <col min="13831" max="14075" width="9.140625" style="1"/>
    <col min="14076" max="14076" width="2.140625" style="1" customWidth="1"/>
    <col min="14077" max="14077" width="8.7109375" style="1" customWidth="1"/>
    <col min="14078" max="14078" width="9.85546875" style="1" customWidth="1"/>
    <col min="14079" max="14079" width="1" style="1" customWidth="1"/>
    <col min="14080" max="14080" width="10.85546875" style="1" customWidth="1"/>
    <col min="14081" max="14081" width="1" style="1" customWidth="1"/>
    <col min="14082" max="14082" width="53.5703125" style="1" customWidth="1"/>
    <col min="14083" max="14084" width="22.85546875" style="1" customWidth="1"/>
    <col min="14085" max="14085" width="8.7109375" style="1" customWidth="1"/>
    <col min="14086" max="14086" width="14.140625" style="1" customWidth="1"/>
    <col min="14087" max="14331" width="9.140625" style="1"/>
    <col min="14332" max="14332" width="2.140625" style="1" customWidth="1"/>
    <col min="14333" max="14333" width="8.7109375" style="1" customWidth="1"/>
    <col min="14334" max="14334" width="9.85546875" style="1" customWidth="1"/>
    <col min="14335" max="14335" width="1" style="1" customWidth="1"/>
    <col min="14336" max="14336" width="10.85546875" style="1" customWidth="1"/>
    <col min="14337" max="14337" width="1" style="1" customWidth="1"/>
    <col min="14338" max="14338" width="53.5703125" style="1" customWidth="1"/>
    <col min="14339" max="14340" width="22.85546875" style="1" customWidth="1"/>
    <col min="14341" max="14341" width="8.7109375" style="1" customWidth="1"/>
    <col min="14342" max="14342" width="14.140625" style="1" customWidth="1"/>
    <col min="14343" max="14587" width="9.140625" style="1"/>
    <col min="14588" max="14588" width="2.140625" style="1" customWidth="1"/>
    <col min="14589" max="14589" width="8.7109375" style="1" customWidth="1"/>
    <col min="14590" max="14590" width="9.85546875" style="1" customWidth="1"/>
    <col min="14591" max="14591" width="1" style="1" customWidth="1"/>
    <col min="14592" max="14592" width="10.85546875" style="1" customWidth="1"/>
    <col min="14593" max="14593" width="1" style="1" customWidth="1"/>
    <col min="14594" max="14594" width="53.5703125" style="1" customWidth="1"/>
    <col min="14595" max="14596" width="22.85546875" style="1" customWidth="1"/>
    <col min="14597" max="14597" width="8.7109375" style="1" customWidth="1"/>
    <col min="14598" max="14598" width="14.140625" style="1" customWidth="1"/>
    <col min="14599" max="14843" width="9.140625" style="1"/>
    <col min="14844" max="14844" width="2.140625" style="1" customWidth="1"/>
    <col min="14845" max="14845" width="8.7109375" style="1" customWidth="1"/>
    <col min="14846" max="14846" width="9.85546875" style="1" customWidth="1"/>
    <col min="14847" max="14847" width="1" style="1" customWidth="1"/>
    <col min="14848" max="14848" width="10.85546875" style="1" customWidth="1"/>
    <col min="14849" max="14849" width="1" style="1" customWidth="1"/>
    <col min="14850" max="14850" width="53.5703125" style="1" customWidth="1"/>
    <col min="14851" max="14852" width="22.85546875" style="1" customWidth="1"/>
    <col min="14853" max="14853" width="8.7109375" style="1" customWidth="1"/>
    <col min="14854" max="14854" width="14.140625" style="1" customWidth="1"/>
    <col min="14855" max="15099" width="9.140625" style="1"/>
    <col min="15100" max="15100" width="2.140625" style="1" customWidth="1"/>
    <col min="15101" max="15101" width="8.7109375" style="1" customWidth="1"/>
    <col min="15102" max="15102" width="9.85546875" style="1" customWidth="1"/>
    <col min="15103" max="15103" width="1" style="1" customWidth="1"/>
    <col min="15104" max="15104" width="10.85546875" style="1" customWidth="1"/>
    <col min="15105" max="15105" width="1" style="1" customWidth="1"/>
    <col min="15106" max="15106" width="53.5703125" style="1" customWidth="1"/>
    <col min="15107" max="15108" width="22.85546875" style="1" customWidth="1"/>
    <col min="15109" max="15109" width="8.7109375" style="1" customWidth="1"/>
    <col min="15110" max="15110" width="14.140625" style="1" customWidth="1"/>
    <col min="15111" max="15355" width="9.140625" style="1"/>
    <col min="15356" max="15356" width="2.140625" style="1" customWidth="1"/>
    <col min="15357" max="15357" width="8.7109375" style="1" customWidth="1"/>
    <col min="15358" max="15358" width="9.85546875" style="1" customWidth="1"/>
    <col min="15359" max="15359" width="1" style="1" customWidth="1"/>
    <col min="15360" max="15360" width="10.85546875" style="1" customWidth="1"/>
    <col min="15361" max="15361" width="1" style="1" customWidth="1"/>
    <col min="15362" max="15362" width="53.5703125" style="1" customWidth="1"/>
    <col min="15363" max="15364" width="22.85546875" style="1" customWidth="1"/>
    <col min="15365" max="15365" width="8.7109375" style="1" customWidth="1"/>
    <col min="15366" max="15366" width="14.140625" style="1" customWidth="1"/>
    <col min="15367" max="15611" width="9.140625" style="1"/>
    <col min="15612" max="15612" width="2.140625" style="1" customWidth="1"/>
    <col min="15613" max="15613" width="8.7109375" style="1" customWidth="1"/>
    <col min="15614" max="15614" width="9.85546875" style="1" customWidth="1"/>
    <col min="15615" max="15615" width="1" style="1" customWidth="1"/>
    <col min="15616" max="15616" width="10.85546875" style="1" customWidth="1"/>
    <col min="15617" max="15617" width="1" style="1" customWidth="1"/>
    <col min="15618" max="15618" width="53.5703125" style="1" customWidth="1"/>
    <col min="15619" max="15620" width="22.85546875" style="1" customWidth="1"/>
    <col min="15621" max="15621" width="8.7109375" style="1" customWidth="1"/>
    <col min="15622" max="15622" width="14.140625" style="1" customWidth="1"/>
    <col min="15623" max="15867" width="9.140625" style="1"/>
    <col min="15868" max="15868" width="2.140625" style="1" customWidth="1"/>
    <col min="15869" max="15869" width="8.7109375" style="1" customWidth="1"/>
    <col min="15870" max="15870" width="9.85546875" style="1" customWidth="1"/>
    <col min="15871" max="15871" width="1" style="1" customWidth="1"/>
    <col min="15872" max="15872" width="10.85546875" style="1" customWidth="1"/>
    <col min="15873" max="15873" width="1" style="1" customWidth="1"/>
    <col min="15874" max="15874" width="53.5703125" style="1" customWidth="1"/>
    <col min="15875" max="15876" width="22.85546875" style="1" customWidth="1"/>
    <col min="15877" max="15877" width="8.7109375" style="1" customWidth="1"/>
    <col min="15878" max="15878" width="14.140625" style="1" customWidth="1"/>
    <col min="15879" max="16123" width="9.140625" style="1"/>
    <col min="16124" max="16124" width="2.140625" style="1" customWidth="1"/>
    <col min="16125" max="16125" width="8.7109375" style="1" customWidth="1"/>
    <col min="16126" max="16126" width="9.85546875" style="1" customWidth="1"/>
    <col min="16127" max="16127" width="1" style="1" customWidth="1"/>
    <col min="16128" max="16128" width="10.85546875" style="1" customWidth="1"/>
    <col min="16129" max="16129" width="1" style="1" customWidth="1"/>
    <col min="16130" max="16130" width="53.5703125" style="1" customWidth="1"/>
    <col min="16131" max="16132" width="22.85546875" style="1" customWidth="1"/>
    <col min="16133" max="16133" width="8.7109375" style="1" customWidth="1"/>
    <col min="16134" max="16134" width="14.140625" style="1" customWidth="1"/>
    <col min="16135" max="16384" width="9.140625" style="1"/>
  </cols>
  <sheetData>
    <row r="1" spans="1:32" ht="28.5" customHeight="1" x14ac:dyDescent="0.25">
      <c r="A1" s="190" t="s">
        <v>372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32" ht="44.25" customHeight="1" x14ac:dyDescent="0.25">
      <c r="A2" s="188" t="s">
        <v>373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32" ht="71.25" customHeight="1" x14ac:dyDescent="0.2">
      <c r="A3" s="2" t="s">
        <v>0</v>
      </c>
      <c r="B3" s="5" t="s">
        <v>1</v>
      </c>
      <c r="C3" s="131" t="s">
        <v>2</v>
      </c>
      <c r="D3" s="131" t="s">
        <v>3</v>
      </c>
      <c r="E3" s="131" t="s">
        <v>367</v>
      </c>
      <c r="F3" s="7" t="s">
        <v>368</v>
      </c>
      <c r="G3" s="7" t="s">
        <v>334</v>
      </c>
      <c r="H3" s="7" t="s">
        <v>369</v>
      </c>
      <c r="I3" s="7" t="s">
        <v>370</v>
      </c>
      <c r="J3" s="7" t="s">
        <v>371</v>
      </c>
      <c r="L3" s="15" t="s">
        <v>335</v>
      </c>
      <c r="M3" s="6" t="s">
        <v>336</v>
      </c>
      <c r="N3" s="57" t="s">
        <v>365</v>
      </c>
      <c r="O3" s="57" t="s">
        <v>366</v>
      </c>
      <c r="P3" s="6" t="s">
        <v>337</v>
      </c>
      <c r="Q3" s="6" t="s">
        <v>338</v>
      </c>
      <c r="R3" s="6" t="s">
        <v>339</v>
      </c>
      <c r="S3" s="6" t="s">
        <v>352</v>
      </c>
      <c r="T3" s="8" t="s">
        <v>340</v>
      </c>
      <c r="U3" s="8" t="s">
        <v>341</v>
      </c>
      <c r="V3" s="6" t="s">
        <v>343</v>
      </c>
      <c r="W3" s="6" t="s">
        <v>342</v>
      </c>
      <c r="X3" s="25" t="s">
        <v>347</v>
      </c>
      <c r="Y3" s="25" t="s">
        <v>344</v>
      </c>
      <c r="Z3" s="6" t="s">
        <v>345</v>
      </c>
      <c r="AA3" s="6" t="s">
        <v>346</v>
      </c>
      <c r="AB3" s="6" t="s">
        <v>348</v>
      </c>
      <c r="AC3" s="25" t="s">
        <v>349</v>
      </c>
      <c r="AD3" s="25" t="s">
        <v>350</v>
      </c>
      <c r="AE3" s="6" t="s">
        <v>351</v>
      </c>
      <c r="AF3" s="57" t="s">
        <v>364</v>
      </c>
    </row>
    <row r="4" spans="1:32" ht="23.25" customHeight="1" x14ac:dyDescent="0.2">
      <c r="A4" s="155" t="s">
        <v>4</v>
      </c>
      <c r="B4" s="156"/>
      <c r="C4" s="157"/>
      <c r="D4" s="158" t="s">
        <v>5</v>
      </c>
      <c r="E4" s="159">
        <f>E5+E9+E11+E7</f>
        <v>667894.4</v>
      </c>
      <c r="F4" s="159">
        <f>F5+F9+F11+F7</f>
        <v>581475.4</v>
      </c>
      <c r="G4" s="160">
        <f>F4/E4</f>
        <v>0.87060978501990738</v>
      </c>
      <c r="H4" s="159">
        <f t="shared" ref="H4:AF4" si="0">H5+H9+H11</f>
        <v>661576.41</v>
      </c>
      <c r="I4" s="159">
        <f>I5+I9+I11+I7</f>
        <v>49386.869999999995</v>
      </c>
      <c r="J4" s="160">
        <f>I4/E4</f>
        <v>7.3944129491129121E-2</v>
      </c>
      <c r="K4" s="108">
        <f t="shared" si="0"/>
        <v>41000</v>
      </c>
      <c r="L4" s="12">
        <f t="shared" si="0"/>
        <v>41000</v>
      </c>
      <c r="M4" s="12">
        <f t="shared" si="0"/>
        <v>1000</v>
      </c>
      <c r="N4" s="12">
        <f t="shared" si="0"/>
        <v>20000</v>
      </c>
      <c r="O4" s="12"/>
      <c r="P4" s="12">
        <f t="shared" si="0"/>
        <v>0</v>
      </c>
      <c r="Q4" s="12">
        <f t="shared" si="0"/>
        <v>17000</v>
      </c>
      <c r="R4" s="12">
        <f t="shared" si="0"/>
        <v>0</v>
      </c>
      <c r="S4" s="16">
        <f>S5+S9+S11</f>
        <v>3000</v>
      </c>
      <c r="T4" s="12">
        <f t="shared" si="0"/>
        <v>0</v>
      </c>
      <c r="U4" s="12">
        <f t="shared" si="0"/>
        <v>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  <c r="AC4" s="12">
        <f t="shared" si="0"/>
        <v>0</v>
      </c>
      <c r="AD4" s="12">
        <f t="shared" si="0"/>
        <v>0</v>
      </c>
      <c r="AE4" s="12">
        <f t="shared" si="0"/>
        <v>0</v>
      </c>
      <c r="AF4" s="12">
        <f t="shared" si="0"/>
        <v>0</v>
      </c>
    </row>
    <row r="5" spans="1:32" ht="15.75" x14ac:dyDescent="0.2">
      <c r="A5" s="3"/>
      <c r="B5" s="165" t="s">
        <v>108</v>
      </c>
      <c r="C5" s="166"/>
      <c r="D5" s="167" t="s">
        <v>109</v>
      </c>
      <c r="E5" s="168">
        <f>E6</f>
        <v>20000</v>
      </c>
      <c r="F5" s="168">
        <f t="shared" ref="F5:AF5" si="1">F6</f>
        <v>0</v>
      </c>
      <c r="G5" s="169">
        <f>F5/E5</f>
        <v>0</v>
      </c>
      <c r="H5" s="168">
        <f t="shared" si="1"/>
        <v>20000</v>
      </c>
      <c r="I5" s="168">
        <f t="shared" si="1"/>
        <v>20000</v>
      </c>
      <c r="J5" s="169">
        <f>I5/E5</f>
        <v>1</v>
      </c>
      <c r="K5" s="109">
        <f t="shared" si="1"/>
        <v>20000</v>
      </c>
      <c r="L5" s="85">
        <f t="shared" si="1"/>
        <v>20000</v>
      </c>
      <c r="M5" s="85">
        <f t="shared" si="1"/>
        <v>0</v>
      </c>
      <c r="N5" s="85">
        <f t="shared" si="1"/>
        <v>20000</v>
      </c>
      <c r="O5" s="85"/>
      <c r="P5" s="85">
        <f t="shared" si="1"/>
        <v>0</v>
      </c>
      <c r="Q5" s="85">
        <f t="shared" si="1"/>
        <v>0</v>
      </c>
      <c r="R5" s="85">
        <f t="shared" si="1"/>
        <v>0</v>
      </c>
      <c r="S5" s="86">
        <f>S6</f>
        <v>0</v>
      </c>
      <c r="T5" s="85">
        <f t="shared" si="1"/>
        <v>0</v>
      </c>
      <c r="U5" s="85">
        <f t="shared" si="1"/>
        <v>0</v>
      </c>
      <c r="V5" s="85">
        <f t="shared" si="1"/>
        <v>0</v>
      </c>
      <c r="W5" s="85">
        <f t="shared" si="1"/>
        <v>0</v>
      </c>
      <c r="X5" s="85">
        <f t="shared" si="1"/>
        <v>0</v>
      </c>
      <c r="Y5" s="85">
        <f t="shared" si="1"/>
        <v>0</v>
      </c>
      <c r="Z5" s="85">
        <f t="shared" si="1"/>
        <v>0</v>
      </c>
      <c r="AA5" s="85">
        <f t="shared" si="1"/>
        <v>0</v>
      </c>
      <c r="AB5" s="85">
        <f t="shared" si="1"/>
        <v>0</v>
      </c>
      <c r="AC5" s="85">
        <f t="shared" si="1"/>
        <v>0</v>
      </c>
      <c r="AD5" s="85">
        <f t="shared" si="1"/>
        <v>0</v>
      </c>
      <c r="AE5" s="85">
        <f t="shared" si="1"/>
        <v>0</v>
      </c>
      <c r="AF5" s="85">
        <f t="shared" si="1"/>
        <v>0</v>
      </c>
    </row>
    <row r="6" spans="1:32" ht="56.25" x14ac:dyDescent="0.2">
      <c r="A6" s="4"/>
      <c r="B6" s="31"/>
      <c r="C6" s="42" t="s">
        <v>110</v>
      </c>
      <c r="D6" s="134" t="s">
        <v>111</v>
      </c>
      <c r="E6" s="32">
        <v>20000</v>
      </c>
      <c r="F6" s="20">
        <v>0</v>
      </c>
      <c r="G6" s="11">
        <f>F6/E6</f>
        <v>0</v>
      </c>
      <c r="H6" s="20">
        <v>20000</v>
      </c>
      <c r="I6" s="20">
        <v>20000</v>
      </c>
      <c r="J6" s="11">
        <f>I6/E6</f>
        <v>1</v>
      </c>
      <c r="K6" s="23">
        <f>L6+T6+U6+AF6</f>
        <v>20000</v>
      </c>
      <c r="L6" s="20">
        <f>SUM(M6:S6)</f>
        <v>20000</v>
      </c>
      <c r="M6" s="19">
        <v>0</v>
      </c>
      <c r="N6" s="55">
        <v>20000</v>
      </c>
      <c r="O6" s="55"/>
      <c r="P6" s="19"/>
      <c r="Q6" s="19"/>
      <c r="R6" s="19"/>
      <c r="S6" s="10"/>
      <c r="T6" s="10"/>
      <c r="U6" s="20">
        <f>SUM(V6:AE6)</f>
        <v>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5.75" hidden="1" x14ac:dyDescent="0.2">
      <c r="A7" s="3"/>
      <c r="B7" s="116"/>
      <c r="C7" s="132"/>
      <c r="D7" s="133"/>
      <c r="E7" s="110"/>
      <c r="F7" s="110"/>
      <c r="G7" s="87"/>
      <c r="H7" s="135"/>
      <c r="I7" s="135"/>
      <c r="J7" s="87"/>
      <c r="K7" s="109">
        <f t="shared" ref="F7:AF9" si="2">K8</f>
        <v>17000</v>
      </c>
      <c r="L7" s="85">
        <f t="shared" si="2"/>
        <v>17000</v>
      </c>
      <c r="M7" s="85">
        <f t="shared" si="2"/>
        <v>0</v>
      </c>
      <c r="N7" s="85">
        <f t="shared" si="2"/>
        <v>0</v>
      </c>
      <c r="O7" s="85"/>
      <c r="P7" s="85">
        <f t="shared" si="2"/>
        <v>0</v>
      </c>
      <c r="Q7" s="85">
        <f t="shared" si="2"/>
        <v>17000</v>
      </c>
      <c r="R7" s="85">
        <f t="shared" si="2"/>
        <v>0</v>
      </c>
      <c r="S7" s="86">
        <f>S8</f>
        <v>0</v>
      </c>
      <c r="T7" s="85">
        <f t="shared" si="2"/>
        <v>0</v>
      </c>
      <c r="U7" s="85">
        <f t="shared" si="2"/>
        <v>0</v>
      </c>
      <c r="V7" s="85">
        <f t="shared" si="2"/>
        <v>0</v>
      </c>
      <c r="W7" s="85">
        <f t="shared" si="2"/>
        <v>0</v>
      </c>
      <c r="X7" s="85">
        <f t="shared" si="2"/>
        <v>0</v>
      </c>
      <c r="Y7" s="85">
        <f t="shared" si="2"/>
        <v>0</v>
      </c>
      <c r="Z7" s="85">
        <f t="shared" si="2"/>
        <v>0</v>
      </c>
      <c r="AA7" s="85">
        <f t="shared" si="2"/>
        <v>0</v>
      </c>
      <c r="AB7" s="85">
        <f t="shared" si="2"/>
        <v>0</v>
      </c>
      <c r="AC7" s="85">
        <f t="shared" si="2"/>
        <v>0</v>
      </c>
      <c r="AD7" s="85">
        <f t="shared" si="2"/>
        <v>0</v>
      </c>
      <c r="AE7" s="85">
        <f t="shared" si="2"/>
        <v>0</v>
      </c>
      <c r="AF7" s="85">
        <f t="shared" si="2"/>
        <v>0</v>
      </c>
    </row>
    <row r="8" spans="1:32" hidden="1" x14ac:dyDescent="0.2">
      <c r="A8" s="4"/>
      <c r="B8" s="31"/>
      <c r="C8" s="33"/>
      <c r="D8" s="34"/>
      <c r="E8" s="32"/>
      <c r="F8" s="20"/>
      <c r="G8" s="11"/>
      <c r="H8" s="20"/>
      <c r="I8" s="20"/>
      <c r="J8" s="11"/>
      <c r="K8" s="24">
        <f>L8+T8+U8+AF8</f>
        <v>17000</v>
      </c>
      <c r="L8" s="19">
        <f>SUM(M8:S8)</f>
        <v>17000</v>
      </c>
      <c r="M8" s="19"/>
      <c r="N8" s="19"/>
      <c r="O8" s="19"/>
      <c r="P8" s="19"/>
      <c r="Q8" s="55">
        <v>17000</v>
      </c>
      <c r="R8" s="19"/>
      <c r="S8" s="9"/>
      <c r="T8" s="9"/>
      <c r="U8" s="19">
        <f>SUM(V8:AE8)</f>
        <v>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.75" x14ac:dyDescent="0.2">
      <c r="A9" s="3"/>
      <c r="B9" s="165" t="s">
        <v>112</v>
      </c>
      <c r="C9" s="166"/>
      <c r="D9" s="167" t="s">
        <v>113</v>
      </c>
      <c r="E9" s="168">
        <f>E10</f>
        <v>17000</v>
      </c>
      <c r="F9" s="168">
        <f t="shared" si="2"/>
        <v>9581</v>
      </c>
      <c r="G9" s="170">
        <f t="shared" ref="G9:G73" si="3">F9/E9</f>
        <v>0.56358823529411761</v>
      </c>
      <c r="H9" s="171">
        <f t="shared" si="2"/>
        <v>11629</v>
      </c>
      <c r="I9" s="171">
        <f t="shared" si="2"/>
        <v>17000</v>
      </c>
      <c r="J9" s="170">
        <f t="shared" ref="J9:J73" si="4">I9/E9</f>
        <v>1</v>
      </c>
      <c r="K9" s="109">
        <f t="shared" si="2"/>
        <v>17000</v>
      </c>
      <c r="L9" s="85">
        <f t="shared" si="2"/>
        <v>17000</v>
      </c>
      <c r="M9" s="85">
        <f t="shared" si="2"/>
        <v>0</v>
      </c>
      <c r="N9" s="85">
        <f t="shared" si="2"/>
        <v>0</v>
      </c>
      <c r="O9" s="85"/>
      <c r="P9" s="85">
        <f t="shared" si="2"/>
        <v>0</v>
      </c>
      <c r="Q9" s="85">
        <f t="shared" si="2"/>
        <v>17000</v>
      </c>
      <c r="R9" s="85">
        <f t="shared" si="2"/>
        <v>0</v>
      </c>
      <c r="S9" s="86">
        <f>S10</f>
        <v>0</v>
      </c>
      <c r="T9" s="85">
        <f t="shared" si="2"/>
        <v>0</v>
      </c>
      <c r="U9" s="85">
        <f t="shared" si="2"/>
        <v>0</v>
      </c>
      <c r="V9" s="85">
        <f t="shared" si="2"/>
        <v>0</v>
      </c>
      <c r="W9" s="85">
        <f t="shared" si="2"/>
        <v>0</v>
      </c>
      <c r="X9" s="85">
        <f t="shared" si="2"/>
        <v>0</v>
      </c>
      <c r="Y9" s="85">
        <f t="shared" si="2"/>
        <v>0</v>
      </c>
      <c r="Z9" s="85">
        <f t="shared" si="2"/>
        <v>0</v>
      </c>
      <c r="AA9" s="85">
        <f t="shared" si="2"/>
        <v>0</v>
      </c>
      <c r="AB9" s="85">
        <f t="shared" si="2"/>
        <v>0</v>
      </c>
      <c r="AC9" s="85">
        <f t="shared" si="2"/>
        <v>0</v>
      </c>
      <c r="AD9" s="85">
        <f t="shared" si="2"/>
        <v>0</v>
      </c>
      <c r="AE9" s="85">
        <f t="shared" si="2"/>
        <v>0</v>
      </c>
      <c r="AF9" s="85">
        <f t="shared" si="2"/>
        <v>0</v>
      </c>
    </row>
    <row r="10" spans="1:32" ht="33.75" x14ac:dyDescent="0.2">
      <c r="A10" s="4"/>
      <c r="B10" s="31"/>
      <c r="C10" s="42" t="s">
        <v>114</v>
      </c>
      <c r="D10" s="134" t="s">
        <v>115</v>
      </c>
      <c r="E10" s="32">
        <v>17000</v>
      </c>
      <c r="F10" s="20">
        <v>9581</v>
      </c>
      <c r="G10" s="11">
        <f t="shared" si="3"/>
        <v>0.56358823529411761</v>
      </c>
      <c r="H10" s="20">
        <v>11629</v>
      </c>
      <c r="I10" s="20">
        <v>17000</v>
      </c>
      <c r="J10" s="11">
        <f t="shared" si="4"/>
        <v>1</v>
      </c>
      <c r="K10" s="24">
        <f>L10+T10+U10+AF10</f>
        <v>17000</v>
      </c>
      <c r="L10" s="19">
        <f>SUM(M10:S10)</f>
        <v>17000</v>
      </c>
      <c r="M10" s="19"/>
      <c r="N10" s="19"/>
      <c r="O10" s="19"/>
      <c r="P10" s="19"/>
      <c r="Q10" s="55">
        <v>17000</v>
      </c>
      <c r="R10" s="19"/>
      <c r="S10" s="9"/>
      <c r="T10" s="9"/>
      <c r="U10" s="19">
        <f>SUM(V10:AE10)</f>
        <v>0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5.75" x14ac:dyDescent="0.2">
      <c r="A11" s="3"/>
      <c r="B11" s="165" t="s">
        <v>9</v>
      </c>
      <c r="C11" s="166"/>
      <c r="D11" s="167" t="s">
        <v>10</v>
      </c>
      <c r="E11" s="168">
        <f>E12+E13+E14+E15+E16+E17+E18</f>
        <v>630894.4</v>
      </c>
      <c r="F11" s="168">
        <f>F12+F13+F14+F15+F16+F17+F18</f>
        <v>571894.4</v>
      </c>
      <c r="G11" s="170">
        <f t="shared" si="3"/>
        <v>0.90648197226033389</v>
      </c>
      <c r="H11" s="168">
        <f t="shared" ref="H11:I11" si="5">H12+H13+H14+H15+H16+H17+H18</f>
        <v>629947.41</v>
      </c>
      <c r="I11" s="168">
        <f t="shared" si="5"/>
        <v>12386.869999999999</v>
      </c>
      <c r="J11" s="170">
        <f t="shared" si="4"/>
        <v>1.9633824614705725E-2</v>
      </c>
      <c r="K11" s="109">
        <f t="shared" ref="K11:AF11" si="6">K12+K13+K14+K15+K16+K17</f>
        <v>4000</v>
      </c>
      <c r="L11" s="85">
        <f t="shared" si="6"/>
        <v>4000</v>
      </c>
      <c r="M11" s="88">
        <f t="shared" si="6"/>
        <v>1000</v>
      </c>
      <c r="N11" s="85">
        <f t="shared" si="6"/>
        <v>0</v>
      </c>
      <c r="O11" s="85"/>
      <c r="P11" s="85">
        <f t="shared" si="6"/>
        <v>0</v>
      </c>
      <c r="Q11" s="85">
        <f t="shared" si="6"/>
        <v>0</v>
      </c>
      <c r="R11" s="85">
        <f t="shared" si="6"/>
        <v>0</v>
      </c>
      <c r="S11" s="86">
        <f>S12+S13+S14+S15+S16+S17</f>
        <v>3000</v>
      </c>
      <c r="T11" s="85">
        <f t="shared" si="6"/>
        <v>0</v>
      </c>
      <c r="U11" s="85">
        <f t="shared" si="6"/>
        <v>0</v>
      </c>
      <c r="V11" s="85">
        <f t="shared" si="6"/>
        <v>0</v>
      </c>
      <c r="W11" s="85">
        <f t="shared" si="6"/>
        <v>0</v>
      </c>
      <c r="X11" s="85">
        <f t="shared" si="6"/>
        <v>0</v>
      </c>
      <c r="Y11" s="85">
        <f t="shared" si="6"/>
        <v>0</v>
      </c>
      <c r="Z11" s="85">
        <f t="shared" si="6"/>
        <v>0</v>
      </c>
      <c r="AA11" s="85">
        <f t="shared" si="6"/>
        <v>0</v>
      </c>
      <c r="AB11" s="85">
        <f t="shared" si="6"/>
        <v>0</v>
      </c>
      <c r="AC11" s="85">
        <f t="shared" si="6"/>
        <v>0</v>
      </c>
      <c r="AD11" s="85">
        <f t="shared" si="6"/>
        <v>0</v>
      </c>
      <c r="AE11" s="85">
        <f t="shared" si="6"/>
        <v>0</v>
      </c>
      <c r="AF11" s="85">
        <f t="shared" si="6"/>
        <v>0</v>
      </c>
    </row>
    <row r="12" spans="1:32" x14ac:dyDescent="0.2">
      <c r="A12" s="4"/>
      <c r="B12" s="31"/>
      <c r="C12" s="33" t="s">
        <v>116</v>
      </c>
      <c r="D12" s="134" t="s">
        <v>117</v>
      </c>
      <c r="E12" s="32">
        <v>5640</v>
      </c>
      <c r="F12" s="20">
        <v>5640</v>
      </c>
      <c r="G12" s="11">
        <f t="shared" si="3"/>
        <v>1</v>
      </c>
      <c r="H12" s="20">
        <v>5640</v>
      </c>
      <c r="I12" s="20">
        <v>0</v>
      </c>
      <c r="J12" s="11">
        <f t="shared" si="4"/>
        <v>0</v>
      </c>
      <c r="K12" s="24">
        <f>L12+T12+U12+AF12</f>
        <v>0</v>
      </c>
      <c r="L12" s="19">
        <f t="shared" ref="L12:L18" si="7">SUM(M12:S12)</f>
        <v>0</v>
      </c>
      <c r="M12" s="30"/>
      <c r="N12" s="18"/>
      <c r="O12" s="18"/>
      <c r="P12" s="18"/>
      <c r="Q12" s="18"/>
      <c r="R12" s="18"/>
      <c r="S12" s="36"/>
      <c r="T12" s="9"/>
      <c r="U12" s="19">
        <f t="shared" ref="U12:U17" si="8">SUM(V12:AE12)</f>
        <v>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">
      <c r="A13" s="4"/>
      <c r="B13" s="31"/>
      <c r="C13" s="42" t="s">
        <v>118</v>
      </c>
      <c r="D13" s="134" t="s">
        <v>119</v>
      </c>
      <c r="E13" s="32">
        <v>964.45</v>
      </c>
      <c r="F13" s="20">
        <v>964.45</v>
      </c>
      <c r="G13" s="11">
        <f t="shared" si="3"/>
        <v>1</v>
      </c>
      <c r="H13" s="20">
        <v>964.45</v>
      </c>
      <c r="I13" s="20">
        <v>0</v>
      </c>
      <c r="J13" s="11">
        <f t="shared" si="4"/>
        <v>0</v>
      </c>
      <c r="K13" s="24">
        <f t="shared" ref="K13:K18" si="9">L13+T13+U13+AF13</f>
        <v>0</v>
      </c>
      <c r="L13" s="19">
        <f t="shared" si="7"/>
        <v>0</v>
      </c>
      <c r="M13" s="30"/>
      <c r="N13" s="18"/>
      <c r="O13" s="18"/>
      <c r="P13" s="18"/>
      <c r="Q13" s="18"/>
      <c r="R13" s="18"/>
      <c r="S13" s="36"/>
      <c r="T13" s="9"/>
      <c r="U13" s="19">
        <f t="shared" si="8"/>
        <v>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">
      <c r="A14" s="4"/>
      <c r="B14" s="31"/>
      <c r="C14" s="33" t="s">
        <v>120</v>
      </c>
      <c r="D14" s="134" t="s">
        <v>121</v>
      </c>
      <c r="E14" s="32">
        <v>138.18</v>
      </c>
      <c r="F14" s="20">
        <v>138.18</v>
      </c>
      <c r="G14" s="11">
        <f t="shared" si="3"/>
        <v>1</v>
      </c>
      <c r="H14" s="20">
        <v>138.18</v>
      </c>
      <c r="I14" s="20">
        <v>0</v>
      </c>
      <c r="J14" s="11">
        <f t="shared" si="4"/>
        <v>0</v>
      </c>
      <c r="K14" s="24">
        <f t="shared" si="9"/>
        <v>0</v>
      </c>
      <c r="L14" s="19">
        <f t="shared" si="7"/>
        <v>0</v>
      </c>
      <c r="M14" s="30"/>
      <c r="N14" s="18"/>
      <c r="O14" s="18"/>
      <c r="P14" s="18"/>
      <c r="Q14" s="18"/>
      <c r="R14" s="18"/>
      <c r="S14" s="36"/>
      <c r="T14" s="9"/>
      <c r="U14" s="19">
        <f t="shared" si="8"/>
        <v>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A15" s="4"/>
      <c r="B15" s="31"/>
      <c r="C15" s="42" t="s">
        <v>122</v>
      </c>
      <c r="D15" s="134" t="s">
        <v>123</v>
      </c>
      <c r="E15" s="32">
        <v>2524.4899999999998</v>
      </c>
      <c r="F15" s="20">
        <v>2524.4899999999998</v>
      </c>
      <c r="G15" s="11">
        <f t="shared" si="3"/>
        <v>1</v>
      </c>
      <c r="H15" s="20">
        <v>2524</v>
      </c>
      <c r="I15" s="20">
        <v>0</v>
      </c>
      <c r="J15" s="11">
        <f t="shared" si="4"/>
        <v>0</v>
      </c>
      <c r="K15" s="24">
        <f t="shared" si="9"/>
        <v>0</v>
      </c>
      <c r="L15" s="19">
        <f t="shared" si="7"/>
        <v>0</v>
      </c>
      <c r="M15" s="30"/>
      <c r="N15" s="18"/>
      <c r="O15" s="18"/>
      <c r="P15" s="18"/>
      <c r="Q15" s="18"/>
      <c r="R15" s="18"/>
      <c r="S15" s="36"/>
      <c r="T15" s="9"/>
      <c r="U15" s="19">
        <f t="shared" si="8"/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A16" s="4"/>
      <c r="B16" s="31"/>
      <c r="C16" s="42" t="s">
        <v>124</v>
      </c>
      <c r="D16" s="134" t="s">
        <v>125</v>
      </c>
      <c r="E16" s="32">
        <v>60946.5</v>
      </c>
      <c r="F16" s="20">
        <v>1946.5</v>
      </c>
      <c r="G16" s="11">
        <f t="shared" si="3"/>
        <v>3.193784712821901E-2</v>
      </c>
      <c r="H16" s="20">
        <v>60000</v>
      </c>
      <c r="I16" s="20">
        <v>6000</v>
      </c>
      <c r="J16" s="11">
        <f t="shared" si="4"/>
        <v>9.844699859713027E-2</v>
      </c>
      <c r="K16" s="24">
        <f>L16+T16+U16+AF16</f>
        <v>4000</v>
      </c>
      <c r="L16" s="19">
        <f t="shared" si="7"/>
        <v>4000</v>
      </c>
      <c r="M16" s="98">
        <v>1000</v>
      </c>
      <c r="N16" s="18"/>
      <c r="O16" s="18"/>
      <c r="P16" s="18"/>
      <c r="Q16" s="19"/>
      <c r="R16" s="18"/>
      <c r="S16" s="59">
        <v>3000</v>
      </c>
      <c r="T16" s="9"/>
      <c r="U16" s="19">
        <f t="shared" si="8"/>
        <v>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">
      <c r="A17" s="4"/>
      <c r="B17" s="31"/>
      <c r="C17" s="42" t="s">
        <v>126</v>
      </c>
      <c r="D17" s="134" t="s">
        <v>127</v>
      </c>
      <c r="E17" s="32">
        <v>560680.78</v>
      </c>
      <c r="F17" s="20">
        <v>560680.78</v>
      </c>
      <c r="G17" s="11">
        <f t="shared" si="3"/>
        <v>1</v>
      </c>
      <c r="H17" s="20">
        <v>560680.78</v>
      </c>
      <c r="I17" s="20">
        <v>0</v>
      </c>
      <c r="J17" s="11">
        <f t="shared" si="4"/>
        <v>0</v>
      </c>
      <c r="K17" s="24">
        <f t="shared" si="9"/>
        <v>0</v>
      </c>
      <c r="L17" s="19">
        <f t="shared" si="7"/>
        <v>0</v>
      </c>
      <c r="M17" s="30"/>
      <c r="N17" s="18"/>
      <c r="O17" s="18"/>
      <c r="P17" s="18"/>
      <c r="Q17" s="18"/>
      <c r="R17" s="18"/>
      <c r="S17" s="36"/>
      <c r="T17" s="9"/>
      <c r="U17" s="19">
        <f t="shared" si="8"/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25.5" customHeight="1" x14ac:dyDescent="0.2">
      <c r="A18" s="4"/>
      <c r="B18" s="31"/>
      <c r="C18" s="42" t="s">
        <v>142</v>
      </c>
      <c r="D18" s="134" t="s">
        <v>143</v>
      </c>
      <c r="E18" s="32">
        <v>0</v>
      </c>
      <c r="F18" s="20">
        <v>0</v>
      </c>
      <c r="G18" s="11">
        <v>0</v>
      </c>
      <c r="H18" s="20">
        <v>0</v>
      </c>
      <c r="I18" s="20">
        <v>6386.87</v>
      </c>
      <c r="J18" s="11">
        <v>0</v>
      </c>
      <c r="K18" s="24">
        <f t="shared" si="9"/>
        <v>0</v>
      </c>
      <c r="L18" s="19">
        <f t="shared" si="7"/>
        <v>0</v>
      </c>
      <c r="M18" s="19"/>
      <c r="N18" s="19">
        <v>0</v>
      </c>
      <c r="O18" s="19"/>
      <c r="P18" s="19"/>
      <c r="Q18" s="19"/>
      <c r="R18" s="19"/>
      <c r="S18" s="19"/>
      <c r="T18" s="19"/>
      <c r="U18" s="19">
        <f>SUM(V18:AE18)</f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26.25" customHeight="1" x14ac:dyDescent="0.2">
      <c r="A19" s="161" t="s">
        <v>11</v>
      </c>
      <c r="B19" s="116"/>
      <c r="C19" s="91"/>
      <c r="D19" s="133" t="s">
        <v>12</v>
      </c>
      <c r="E19" s="110">
        <f>E20</f>
        <v>25000</v>
      </c>
      <c r="F19" s="110">
        <f t="shared" ref="F19:AF19" si="10">F20</f>
        <v>13906.56</v>
      </c>
      <c r="G19" s="87">
        <f t="shared" si="3"/>
        <v>0.55626239999999993</v>
      </c>
      <c r="H19" s="110">
        <f t="shared" si="10"/>
        <v>16977.759999999998</v>
      </c>
      <c r="I19" s="110">
        <f t="shared" si="10"/>
        <v>29800</v>
      </c>
      <c r="J19" s="87">
        <f t="shared" si="4"/>
        <v>1.1919999999999999</v>
      </c>
      <c r="K19" s="108">
        <f t="shared" si="10"/>
        <v>25000</v>
      </c>
      <c r="L19" s="12">
        <f t="shared" si="10"/>
        <v>25000</v>
      </c>
      <c r="M19" s="12">
        <f t="shared" si="10"/>
        <v>0</v>
      </c>
      <c r="N19" s="12">
        <f t="shared" si="10"/>
        <v>25000</v>
      </c>
      <c r="O19" s="12"/>
      <c r="P19" s="12">
        <f t="shared" si="10"/>
        <v>0</v>
      </c>
      <c r="Q19" s="12">
        <f t="shared" si="10"/>
        <v>0</v>
      </c>
      <c r="R19" s="12">
        <f t="shared" si="10"/>
        <v>0</v>
      </c>
      <c r="S19" s="16">
        <f>S20</f>
        <v>0</v>
      </c>
      <c r="T19" s="12">
        <f t="shared" si="10"/>
        <v>0</v>
      </c>
      <c r="U19" s="12">
        <f t="shared" si="10"/>
        <v>0</v>
      </c>
      <c r="V19" s="12">
        <f t="shared" si="10"/>
        <v>0</v>
      </c>
      <c r="W19" s="12">
        <f t="shared" si="10"/>
        <v>0</v>
      </c>
      <c r="X19" s="12">
        <f t="shared" si="10"/>
        <v>0</v>
      </c>
      <c r="Y19" s="12">
        <f t="shared" si="10"/>
        <v>0</v>
      </c>
      <c r="Z19" s="12">
        <f t="shared" si="10"/>
        <v>0</v>
      </c>
      <c r="AA19" s="12">
        <f t="shared" si="10"/>
        <v>0</v>
      </c>
      <c r="AB19" s="12">
        <f t="shared" si="10"/>
        <v>0</v>
      </c>
      <c r="AC19" s="12">
        <f t="shared" si="10"/>
        <v>0</v>
      </c>
      <c r="AD19" s="12">
        <f t="shared" si="10"/>
        <v>0</v>
      </c>
      <c r="AE19" s="12">
        <f t="shared" si="10"/>
        <v>0</v>
      </c>
      <c r="AF19" s="12">
        <f t="shared" si="10"/>
        <v>0</v>
      </c>
    </row>
    <row r="20" spans="1:32" ht="15.75" x14ac:dyDescent="0.2">
      <c r="A20" s="3"/>
      <c r="B20" s="165" t="s">
        <v>13</v>
      </c>
      <c r="C20" s="166"/>
      <c r="D20" s="167" t="s">
        <v>10</v>
      </c>
      <c r="E20" s="168">
        <f>E21+E22+E23+E24+E26+E25</f>
        <v>25000</v>
      </c>
      <c r="F20" s="168">
        <f>F21+F22+F23+F24+F26+F25</f>
        <v>13906.56</v>
      </c>
      <c r="G20" s="170">
        <f t="shared" si="3"/>
        <v>0.55626239999999993</v>
      </c>
      <c r="H20" s="168">
        <f t="shared" ref="H20:AF20" si="11">H21+H22+H23+H24+H26</f>
        <v>16977.759999999998</v>
      </c>
      <c r="I20" s="168">
        <f t="shared" si="11"/>
        <v>29800</v>
      </c>
      <c r="J20" s="170">
        <f t="shared" si="4"/>
        <v>1.1919999999999999</v>
      </c>
      <c r="K20" s="109">
        <f>K21+K22+K23+K24+K26</f>
        <v>25000</v>
      </c>
      <c r="L20" s="85">
        <f t="shared" si="11"/>
        <v>25000</v>
      </c>
      <c r="M20" s="85">
        <f t="shared" si="11"/>
        <v>0</v>
      </c>
      <c r="N20" s="85">
        <f t="shared" si="11"/>
        <v>25000</v>
      </c>
      <c r="O20" s="85"/>
      <c r="P20" s="85">
        <f t="shared" si="11"/>
        <v>0</v>
      </c>
      <c r="Q20" s="85">
        <f t="shared" si="11"/>
        <v>0</v>
      </c>
      <c r="R20" s="85">
        <f t="shared" si="11"/>
        <v>0</v>
      </c>
      <c r="S20" s="86">
        <f>S21+S22+S23+S24+S26</f>
        <v>0</v>
      </c>
      <c r="T20" s="85">
        <f t="shared" si="11"/>
        <v>0</v>
      </c>
      <c r="U20" s="85">
        <f t="shared" si="11"/>
        <v>0</v>
      </c>
      <c r="V20" s="85">
        <f t="shared" si="11"/>
        <v>0</v>
      </c>
      <c r="W20" s="85">
        <f t="shared" si="11"/>
        <v>0</v>
      </c>
      <c r="X20" s="85">
        <f t="shared" si="11"/>
        <v>0</v>
      </c>
      <c r="Y20" s="85">
        <f t="shared" si="11"/>
        <v>0</v>
      </c>
      <c r="Z20" s="85">
        <f t="shared" si="11"/>
        <v>0</v>
      </c>
      <c r="AA20" s="85">
        <f t="shared" si="11"/>
        <v>0</v>
      </c>
      <c r="AB20" s="85">
        <f t="shared" si="11"/>
        <v>0</v>
      </c>
      <c r="AC20" s="85">
        <f t="shared" si="11"/>
        <v>0</v>
      </c>
      <c r="AD20" s="85">
        <f t="shared" si="11"/>
        <v>0</v>
      </c>
      <c r="AE20" s="85">
        <f t="shared" si="11"/>
        <v>0</v>
      </c>
      <c r="AF20" s="85">
        <f t="shared" si="11"/>
        <v>0</v>
      </c>
    </row>
    <row r="21" spans="1:32" x14ac:dyDescent="0.2">
      <c r="A21" s="4"/>
      <c r="B21" s="31"/>
      <c r="C21" s="42" t="s">
        <v>118</v>
      </c>
      <c r="D21" s="134" t="s">
        <v>119</v>
      </c>
      <c r="E21" s="32">
        <v>774</v>
      </c>
      <c r="F21" s="20">
        <v>416.84</v>
      </c>
      <c r="G21" s="11">
        <f t="shared" si="3"/>
        <v>0.53855297157622739</v>
      </c>
      <c r="H21" s="20">
        <v>673.34</v>
      </c>
      <c r="I21" s="20">
        <v>800</v>
      </c>
      <c r="J21" s="11">
        <f t="shared" si="4"/>
        <v>1.0335917312661498</v>
      </c>
      <c r="K21" s="24">
        <f>L21+T21+U21+AF21</f>
        <v>774</v>
      </c>
      <c r="L21" s="19">
        <f>SUM(M21:S21)</f>
        <v>774</v>
      </c>
      <c r="M21" s="19">
        <v>0</v>
      </c>
      <c r="N21" s="55">
        <v>774</v>
      </c>
      <c r="O21" s="55"/>
      <c r="P21" s="19"/>
      <c r="Q21" s="19"/>
      <c r="R21" s="19"/>
      <c r="S21" s="9"/>
      <c r="T21" s="9"/>
      <c r="U21" s="19">
        <f>SUM(V21:AE21)</f>
        <v>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">
      <c r="A22" s="4"/>
      <c r="B22" s="31"/>
      <c r="C22" s="42" t="s">
        <v>128</v>
      </c>
      <c r="D22" s="134" t="s">
        <v>129</v>
      </c>
      <c r="E22" s="32">
        <v>4500</v>
      </c>
      <c r="F22" s="20">
        <v>2484.9899999999998</v>
      </c>
      <c r="G22" s="11">
        <f t="shared" si="3"/>
        <v>0.55221999999999993</v>
      </c>
      <c r="H22" s="20">
        <v>3607.22</v>
      </c>
      <c r="I22" s="20">
        <v>6000</v>
      </c>
      <c r="J22" s="11">
        <f t="shared" si="4"/>
        <v>1.3333333333333333</v>
      </c>
      <c r="K22" s="24">
        <f t="shared" ref="K22:K26" si="12">L22+T22+U22+AF22</f>
        <v>4500</v>
      </c>
      <c r="L22" s="19">
        <f>SUM(M22:S22)</f>
        <v>4500</v>
      </c>
      <c r="M22" s="19">
        <v>0</v>
      </c>
      <c r="N22" s="55">
        <v>4500</v>
      </c>
      <c r="O22" s="55"/>
      <c r="P22" s="19"/>
      <c r="Q22" s="19"/>
      <c r="R22" s="19"/>
      <c r="S22" s="9"/>
      <c r="T22" s="9"/>
      <c r="U22" s="19">
        <f>SUM(V22:AE22)</f>
        <v>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A23" s="4"/>
      <c r="B23" s="31"/>
      <c r="C23" s="42" t="s">
        <v>122</v>
      </c>
      <c r="D23" s="134" t="s">
        <v>123</v>
      </c>
      <c r="E23" s="32">
        <v>10246</v>
      </c>
      <c r="F23" s="20">
        <v>8622.83</v>
      </c>
      <c r="G23" s="11">
        <f t="shared" si="3"/>
        <v>0.84158012883076316</v>
      </c>
      <c r="H23" s="20">
        <v>10246</v>
      </c>
      <c r="I23" s="20">
        <v>15000</v>
      </c>
      <c r="J23" s="11">
        <f t="shared" si="4"/>
        <v>1.4639859457349209</v>
      </c>
      <c r="K23" s="24">
        <f t="shared" si="12"/>
        <v>17246</v>
      </c>
      <c r="L23" s="19">
        <f>SUM(M23:S23)</f>
        <v>17246</v>
      </c>
      <c r="M23" s="19">
        <v>0</v>
      </c>
      <c r="N23" s="55">
        <v>17246</v>
      </c>
      <c r="O23" s="55"/>
      <c r="P23" s="19"/>
      <c r="Q23" s="19"/>
      <c r="R23" s="19"/>
      <c r="S23" s="9"/>
      <c r="T23" s="9"/>
      <c r="U23" s="19">
        <f>SUM(V23:AE23)</f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">
      <c r="A24" s="4"/>
      <c r="B24" s="31"/>
      <c r="C24" s="42" t="s">
        <v>130</v>
      </c>
      <c r="D24" s="134" t="s">
        <v>131</v>
      </c>
      <c r="E24" s="32">
        <v>2000</v>
      </c>
      <c r="F24" s="20">
        <v>275.83999999999997</v>
      </c>
      <c r="G24" s="11">
        <f t="shared" si="3"/>
        <v>0.13791999999999999</v>
      </c>
      <c r="H24" s="20">
        <v>2300</v>
      </c>
      <c r="I24" s="20">
        <v>2000</v>
      </c>
      <c r="J24" s="11">
        <f t="shared" si="4"/>
        <v>1</v>
      </c>
      <c r="K24" s="24">
        <f t="shared" si="12"/>
        <v>2000</v>
      </c>
      <c r="L24" s="19">
        <f>SUM(M24:S24)</f>
        <v>2000</v>
      </c>
      <c r="M24" s="19">
        <v>0</v>
      </c>
      <c r="N24" s="55">
        <v>2000</v>
      </c>
      <c r="O24" s="55"/>
      <c r="P24" s="19"/>
      <c r="Q24" s="19"/>
      <c r="R24" s="19"/>
      <c r="S24" s="9"/>
      <c r="T24" s="9"/>
      <c r="U24" s="19">
        <f>SUM(V24:AE24)</f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">
      <c r="A25" s="4"/>
      <c r="B25" s="31"/>
      <c r="C25" s="33" t="s">
        <v>140</v>
      </c>
      <c r="D25" s="34" t="s">
        <v>141</v>
      </c>
      <c r="E25" s="32">
        <v>7000</v>
      </c>
      <c r="F25" s="20">
        <v>1992.66</v>
      </c>
      <c r="G25" s="11">
        <f t="shared" si="3"/>
        <v>0.2846657142857143</v>
      </c>
      <c r="H25" s="20">
        <v>5000</v>
      </c>
      <c r="I25" s="20">
        <v>0</v>
      </c>
      <c r="J25" s="11">
        <f t="shared" si="4"/>
        <v>0</v>
      </c>
      <c r="K25" s="24"/>
      <c r="L25" s="19"/>
      <c r="M25" s="19"/>
      <c r="N25" s="55"/>
      <c r="O25" s="55"/>
      <c r="P25" s="19"/>
      <c r="Q25" s="19"/>
      <c r="R25" s="19"/>
      <c r="S25" s="9"/>
      <c r="T25" s="9"/>
      <c r="U25" s="1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">
      <c r="A26" s="4"/>
      <c r="B26" s="31"/>
      <c r="C26" s="42" t="s">
        <v>124</v>
      </c>
      <c r="D26" s="134" t="s">
        <v>125</v>
      </c>
      <c r="E26" s="32">
        <v>480</v>
      </c>
      <c r="F26" s="20">
        <v>113.4</v>
      </c>
      <c r="G26" s="11">
        <f t="shared" si="3"/>
        <v>0.23625000000000002</v>
      </c>
      <c r="H26" s="20">
        <f>F26/3*4</f>
        <v>151.20000000000002</v>
      </c>
      <c r="I26" s="20">
        <v>6000</v>
      </c>
      <c r="J26" s="11">
        <f t="shared" si="4"/>
        <v>12.5</v>
      </c>
      <c r="K26" s="24">
        <f t="shared" si="12"/>
        <v>480</v>
      </c>
      <c r="L26" s="19">
        <f>SUM(M26:S26)</f>
        <v>480</v>
      </c>
      <c r="M26" s="21">
        <v>0</v>
      </c>
      <c r="N26" s="55">
        <v>480</v>
      </c>
      <c r="O26" s="55"/>
      <c r="P26" s="19"/>
      <c r="Q26" s="19"/>
      <c r="R26" s="19"/>
      <c r="S26" s="9"/>
      <c r="T26" s="9"/>
      <c r="U26" s="19">
        <f>SUM(V26:AE26)</f>
        <v>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20.25" customHeight="1" x14ac:dyDescent="0.2">
      <c r="A27" s="155" t="s">
        <v>14</v>
      </c>
      <c r="B27" s="156"/>
      <c r="C27" s="157"/>
      <c r="D27" s="158" t="s">
        <v>15</v>
      </c>
      <c r="E27" s="159">
        <f>E28+E32+E34+E36</f>
        <v>10798658.35</v>
      </c>
      <c r="F27" s="159">
        <f t="shared" ref="F27:AF27" si="13">F28+F32+F34+F36</f>
        <v>4842480.4000000004</v>
      </c>
      <c r="G27" s="87">
        <f t="shared" si="3"/>
        <v>0.44843352229955497</v>
      </c>
      <c r="H27" s="159">
        <f t="shared" si="13"/>
        <v>10785658.35</v>
      </c>
      <c r="I27" s="159">
        <f t="shared" si="13"/>
        <v>2534414.19</v>
      </c>
      <c r="J27" s="87">
        <f t="shared" si="4"/>
        <v>0.23469713624192953</v>
      </c>
      <c r="K27" s="108" t="e">
        <f t="shared" si="13"/>
        <v>#REF!</v>
      </c>
      <c r="L27" s="12" t="e">
        <f t="shared" si="13"/>
        <v>#REF!</v>
      </c>
      <c r="M27" s="12">
        <f t="shared" si="13"/>
        <v>12000</v>
      </c>
      <c r="N27" s="12" t="e">
        <f t="shared" si="13"/>
        <v>#REF!</v>
      </c>
      <c r="O27" s="12"/>
      <c r="P27" s="12">
        <f t="shared" si="13"/>
        <v>0</v>
      </c>
      <c r="Q27" s="12">
        <f t="shared" si="13"/>
        <v>0</v>
      </c>
      <c r="R27" s="12">
        <f t="shared" si="13"/>
        <v>0</v>
      </c>
      <c r="S27" s="16">
        <f>S28+S32+S34+S36</f>
        <v>27500</v>
      </c>
      <c r="T27" s="12">
        <f t="shared" si="13"/>
        <v>0</v>
      </c>
      <c r="U27" s="12">
        <f t="shared" si="13"/>
        <v>0</v>
      </c>
      <c r="V27" s="12">
        <f t="shared" si="13"/>
        <v>0</v>
      </c>
      <c r="W27" s="12">
        <f t="shared" si="13"/>
        <v>0</v>
      </c>
      <c r="X27" s="12">
        <f t="shared" si="13"/>
        <v>0</v>
      </c>
      <c r="Y27" s="12">
        <f t="shared" si="13"/>
        <v>0</v>
      </c>
      <c r="Z27" s="12">
        <f t="shared" si="13"/>
        <v>0</v>
      </c>
      <c r="AA27" s="12">
        <f t="shared" si="13"/>
        <v>0</v>
      </c>
      <c r="AB27" s="12">
        <f t="shared" si="13"/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F27" s="12">
        <f t="shared" si="13"/>
        <v>0</v>
      </c>
    </row>
    <row r="28" spans="1:32" ht="15.75" x14ac:dyDescent="0.2">
      <c r="A28" s="3"/>
      <c r="B28" s="165" t="s">
        <v>132</v>
      </c>
      <c r="C28" s="166"/>
      <c r="D28" s="167" t="s">
        <v>133</v>
      </c>
      <c r="E28" s="168">
        <f>E29+E30+E31</f>
        <v>756285.42999999993</v>
      </c>
      <c r="F28" s="168">
        <f t="shared" ref="F28:AF28" si="14">F29+F30+F31</f>
        <v>466104.12</v>
      </c>
      <c r="G28" s="170">
        <f t="shared" si="3"/>
        <v>0.6163071527108489</v>
      </c>
      <c r="H28" s="168">
        <f t="shared" si="14"/>
        <v>756285.42999999993</v>
      </c>
      <c r="I28" s="168">
        <f t="shared" si="14"/>
        <v>815314.19</v>
      </c>
      <c r="J28" s="170">
        <f t="shared" si="4"/>
        <v>1.0780509020251785</v>
      </c>
      <c r="K28" s="109">
        <f t="shared" si="14"/>
        <v>760585.43</v>
      </c>
      <c r="L28" s="85">
        <f t="shared" si="14"/>
        <v>760585.43</v>
      </c>
      <c r="M28" s="85">
        <f t="shared" si="14"/>
        <v>0</v>
      </c>
      <c r="N28" s="85">
        <f t="shared" si="14"/>
        <v>760585.43</v>
      </c>
      <c r="O28" s="85"/>
      <c r="P28" s="85">
        <f t="shared" si="14"/>
        <v>0</v>
      </c>
      <c r="Q28" s="85">
        <f t="shared" si="14"/>
        <v>0</v>
      </c>
      <c r="R28" s="85">
        <f t="shared" si="14"/>
        <v>0</v>
      </c>
      <c r="S28" s="86">
        <f>S29+S30+S31</f>
        <v>0</v>
      </c>
      <c r="T28" s="85">
        <f t="shared" si="14"/>
        <v>0</v>
      </c>
      <c r="U28" s="85">
        <f t="shared" si="14"/>
        <v>0</v>
      </c>
      <c r="V28" s="85">
        <f t="shared" si="14"/>
        <v>0</v>
      </c>
      <c r="W28" s="85">
        <f t="shared" si="14"/>
        <v>0</v>
      </c>
      <c r="X28" s="85">
        <f t="shared" si="14"/>
        <v>0</v>
      </c>
      <c r="Y28" s="85">
        <f t="shared" si="14"/>
        <v>0</v>
      </c>
      <c r="Z28" s="85">
        <f t="shared" si="14"/>
        <v>0</v>
      </c>
      <c r="AA28" s="85">
        <f t="shared" si="14"/>
        <v>0</v>
      </c>
      <c r="AB28" s="85">
        <f t="shared" si="14"/>
        <v>0</v>
      </c>
      <c r="AC28" s="85">
        <f t="shared" si="14"/>
        <v>0</v>
      </c>
      <c r="AD28" s="85">
        <f t="shared" si="14"/>
        <v>0</v>
      </c>
      <c r="AE28" s="85">
        <f t="shared" si="14"/>
        <v>0</v>
      </c>
      <c r="AF28" s="85">
        <f t="shared" si="14"/>
        <v>0</v>
      </c>
    </row>
    <row r="29" spans="1:32" ht="45" x14ac:dyDescent="0.2">
      <c r="A29" s="4"/>
      <c r="B29" s="31"/>
      <c r="C29" s="42" t="s">
        <v>52</v>
      </c>
      <c r="D29" s="134" t="s">
        <v>134</v>
      </c>
      <c r="E29" s="32">
        <v>460000</v>
      </c>
      <c r="F29" s="20">
        <v>257112.15</v>
      </c>
      <c r="G29" s="11">
        <f t="shared" si="3"/>
        <v>0.55893945652173915</v>
      </c>
      <c r="H29" s="20">
        <v>460000</v>
      </c>
      <c r="I29" s="20">
        <v>510000</v>
      </c>
      <c r="J29" s="11">
        <f t="shared" si="4"/>
        <v>1.1086956521739131</v>
      </c>
      <c r="K29" s="24">
        <f>L29+T29+U29+AF29</f>
        <v>670585.43000000005</v>
      </c>
      <c r="L29" s="19">
        <f>SUM(M29:S29)</f>
        <v>670585.43000000005</v>
      </c>
      <c r="M29" s="19"/>
      <c r="N29" s="55">
        <v>670585.43000000005</v>
      </c>
      <c r="O29" s="55"/>
      <c r="P29" s="19"/>
      <c r="Q29" s="19"/>
      <c r="R29" s="19"/>
      <c r="S29" s="19"/>
      <c r="T29" s="19"/>
      <c r="U29" s="19">
        <f>SUM(V29:AE29)</f>
        <v>0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56.25" x14ac:dyDescent="0.2">
      <c r="A30" s="4"/>
      <c r="B30" s="31"/>
      <c r="C30" s="33" t="s">
        <v>7</v>
      </c>
      <c r="D30" s="34" t="s">
        <v>252</v>
      </c>
      <c r="E30" s="32">
        <v>210585.43</v>
      </c>
      <c r="F30" s="20">
        <v>157939.07999999999</v>
      </c>
      <c r="G30" s="11">
        <f t="shared" si="3"/>
        <v>0.75000003561499951</v>
      </c>
      <c r="H30" s="20">
        <v>210585.43</v>
      </c>
      <c r="I30" s="20">
        <v>215314.19</v>
      </c>
      <c r="J30" s="11">
        <f t="shared" si="4"/>
        <v>1.0224553047188498</v>
      </c>
      <c r="K30" s="24">
        <f t="shared" ref="K30:K31" si="15">L30+T30+U30+AF30</f>
        <v>0</v>
      </c>
      <c r="L30" s="19">
        <f>SUM(M30:S30)</f>
        <v>0</v>
      </c>
      <c r="M30" s="19"/>
      <c r="N30" s="19">
        <v>0</v>
      </c>
      <c r="O30" s="19"/>
      <c r="P30" s="19"/>
      <c r="Q30" s="19"/>
      <c r="R30" s="19"/>
      <c r="S30" s="19"/>
      <c r="T30" s="19"/>
      <c r="U30" s="19">
        <f>SUM(V30:AE30)</f>
        <v>0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x14ac:dyDescent="0.2">
      <c r="A31" s="4"/>
      <c r="B31" s="31"/>
      <c r="C31" s="42" t="s">
        <v>124</v>
      </c>
      <c r="D31" s="134" t="s">
        <v>125</v>
      </c>
      <c r="E31" s="32">
        <v>85700</v>
      </c>
      <c r="F31" s="20">
        <v>51052.89</v>
      </c>
      <c r="G31" s="11">
        <f t="shared" si="3"/>
        <v>0.59571633605600938</v>
      </c>
      <c r="H31" s="20">
        <v>85700</v>
      </c>
      <c r="I31" s="20">
        <v>90000</v>
      </c>
      <c r="J31" s="11">
        <f t="shared" si="4"/>
        <v>1.0501750291715286</v>
      </c>
      <c r="K31" s="24">
        <f t="shared" si="15"/>
        <v>90000</v>
      </c>
      <c r="L31" s="19">
        <f>SUM(M31:S31)</f>
        <v>90000</v>
      </c>
      <c r="M31" s="19"/>
      <c r="N31" s="55">
        <v>90000</v>
      </c>
      <c r="O31" s="55"/>
      <c r="P31" s="19"/>
      <c r="Q31" s="19"/>
      <c r="R31" s="19"/>
      <c r="S31" s="19"/>
      <c r="T31" s="19"/>
      <c r="U31" s="19">
        <f>SUM(V31:AE31)</f>
        <v>0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5.75" x14ac:dyDescent="0.2">
      <c r="A32" s="3"/>
      <c r="B32" s="165" t="s">
        <v>16</v>
      </c>
      <c r="C32" s="166"/>
      <c r="D32" s="167" t="s">
        <v>17</v>
      </c>
      <c r="E32" s="168">
        <f>E33</f>
        <v>11000</v>
      </c>
      <c r="F32" s="168">
        <f t="shared" ref="F32:AF32" si="16">F33</f>
        <v>0</v>
      </c>
      <c r="G32" s="170">
        <f t="shared" si="3"/>
        <v>0</v>
      </c>
      <c r="H32" s="168">
        <f t="shared" si="16"/>
        <v>0</v>
      </c>
      <c r="I32" s="168">
        <f t="shared" si="16"/>
        <v>0</v>
      </c>
      <c r="J32" s="170">
        <f t="shared" si="4"/>
        <v>0</v>
      </c>
      <c r="K32" s="109">
        <f t="shared" si="16"/>
        <v>0</v>
      </c>
      <c r="L32" s="85">
        <f t="shared" si="16"/>
        <v>0</v>
      </c>
      <c r="M32" s="85">
        <f t="shared" si="16"/>
        <v>0</v>
      </c>
      <c r="N32" s="85">
        <f t="shared" si="16"/>
        <v>0</v>
      </c>
      <c r="O32" s="85"/>
      <c r="P32" s="85">
        <f t="shared" si="16"/>
        <v>0</v>
      </c>
      <c r="Q32" s="85">
        <f t="shared" si="16"/>
        <v>0</v>
      </c>
      <c r="R32" s="85">
        <f t="shared" si="16"/>
        <v>0</v>
      </c>
      <c r="S32" s="86">
        <f>S33</f>
        <v>0</v>
      </c>
      <c r="T32" s="85">
        <f t="shared" si="16"/>
        <v>0</v>
      </c>
      <c r="U32" s="85">
        <f t="shared" si="16"/>
        <v>0</v>
      </c>
      <c r="V32" s="85">
        <f t="shared" si="16"/>
        <v>0</v>
      </c>
      <c r="W32" s="85">
        <f t="shared" si="16"/>
        <v>0</v>
      </c>
      <c r="X32" s="85">
        <f t="shared" si="16"/>
        <v>0</v>
      </c>
      <c r="Y32" s="85">
        <f t="shared" si="16"/>
        <v>0</v>
      </c>
      <c r="Z32" s="85">
        <f t="shared" si="16"/>
        <v>0</v>
      </c>
      <c r="AA32" s="85">
        <f t="shared" si="16"/>
        <v>0</v>
      </c>
      <c r="AB32" s="85">
        <f t="shared" si="16"/>
        <v>0</v>
      </c>
      <c r="AC32" s="85">
        <f t="shared" si="16"/>
        <v>0</v>
      </c>
      <c r="AD32" s="85">
        <f t="shared" si="16"/>
        <v>0</v>
      </c>
      <c r="AE32" s="85">
        <f t="shared" si="16"/>
        <v>0</v>
      </c>
      <c r="AF32" s="85">
        <f t="shared" si="16"/>
        <v>0</v>
      </c>
    </row>
    <row r="33" spans="1:32" x14ac:dyDescent="0.2">
      <c r="A33" s="4"/>
      <c r="B33" s="31"/>
      <c r="C33" s="42" t="s">
        <v>124</v>
      </c>
      <c r="D33" s="134" t="s">
        <v>125</v>
      </c>
      <c r="E33" s="32">
        <v>11000</v>
      </c>
      <c r="F33" s="20">
        <v>0</v>
      </c>
      <c r="G33" s="11">
        <f t="shared" si="3"/>
        <v>0</v>
      </c>
      <c r="H33" s="20">
        <v>0</v>
      </c>
      <c r="I33" s="20">
        <v>0</v>
      </c>
      <c r="J33" s="11">
        <f t="shared" si="4"/>
        <v>0</v>
      </c>
      <c r="K33" s="24">
        <f>L33+T33+U33+AF33</f>
        <v>0</v>
      </c>
      <c r="L33" s="19">
        <f>SUM(M33:S33)</f>
        <v>0</v>
      </c>
      <c r="M33" s="19"/>
      <c r="N33" s="19"/>
      <c r="O33" s="19"/>
      <c r="P33" s="19"/>
      <c r="Q33" s="19"/>
      <c r="R33" s="19"/>
      <c r="S33" s="19"/>
      <c r="T33" s="19"/>
      <c r="U33" s="19">
        <f>SUM(V33:AE33)</f>
        <v>0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5.75" x14ac:dyDescent="0.2">
      <c r="A34" s="3"/>
      <c r="B34" s="165" t="s">
        <v>137</v>
      </c>
      <c r="C34" s="166"/>
      <c r="D34" s="167" t="s">
        <v>138</v>
      </c>
      <c r="E34" s="168">
        <f>E35</f>
        <v>1050000</v>
      </c>
      <c r="F34" s="168">
        <f t="shared" ref="F34:AF34" si="17">F35</f>
        <v>0</v>
      </c>
      <c r="G34" s="170">
        <v>0</v>
      </c>
      <c r="H34" s="168">
        <f t="shared" si="17"/>
        <v>1050000</v>
      </c>
      <c r="I34" s="168">
        <f t="shared" si="17"/>
        <v>0</v>
      </c>
      <c r="J34" s="170">
        <v>0</v>
      </c>
      <c r="K34" s="109">
        <f t="shared" si="17"/>
        <v>0</v>
      </c>
      <c r="L34" s="85">
        <f t="shared" si="17"/>
        <v>0</v>
      </c>
      <c r="M34" s="85">
        <f t="shared" si="17"/>
        <v>0</v>
      </c>
      <c r="N34" s="85">
        <f t="shared" si="17"/>
        <v>0</v>
      </c>
      <c r="O34" s="85"/>
      <c r="P34" s="85">
        <f t="shared" si="17"/>
        <v>0</v>
      </c>
      <c r="Q34" s="85">
        <f t="shared" si="17"/>
        <v>0</v>
      </c>
      <c r="R34" s="85">
        <f t="shared" si="17"/>
        <v>0</v>
      </c>
      <c r="S34" s="86">
        <f>S35</f>
        <v>0</v>
      </c>
      <c r="T34" s="85">
        <f t="shared" si="17"/>
        <v>0</v>
      </c>
      <c r="U34" s="85">
        <f t="shared" si="17"/>
        <v>0</v>
      </c>
      <c r="V34" s="85">
        <f t="shared" si="17"/>
        <v>0</v>
      </c>
      <c r="W34" s="85">
        <f t="shared" si="17"/>
        <v>0</v>
      </c>
      <c r="X34" s="85">
        <f t="shared" si="17"/>
        <v>0</v>
      </c>
      <c r="Y34" s="85">
        <f t="shared" si="17"/>
        <v>0</v>
      </c>
      <c r="Z34" s="85">
        <f t="shared" si="17"/>
        <v>0</v>
      </c>
      <c r="AA34" s="85">
        <f t="shared" si="17"/>
        <v>0</v>
      </c>
      <c r="AB34" s="85">
        <f t="shared" si="17"/>
        <v>0</v>
      </c>
      <c r="AC34" s="85">
        <f t="shared" si="17"/>
        <v>0</v>
      </c>
      <c r="AD34" s="85">
        <f t="shared" si="17"/>
        <v>0</v>
      </c>
      <c r="AE34" s="85">
        <f t="shared" si="17"/>
        <v>0</v>
      </c>
      <c r="AF34" s="85">
        <f t="shared" si="17"/>
        <v>0</v>
      </c>
    </row>
    <row r="35" spans="1:32" ht="69.75" customHeight="1" x14ac:dyDescent="0.2">
      <c r="A35" s="4"/>
      <c r="B35" s="31"/>
      <c r="C35" s="42" t="s">
        <v>8</v>
      </c>
      <c r="D35" s="134" t="s">
        <v>139</v>
      </c>
      <c r="E35" s="32">
        <v>1050000</v>
      </c>
      <c r="F35" s="20">
        <v>0</v>
      </c>
      <c r="G35" s="11">
        <v>0</v>
      </c>
      <c r="H35" s="20">
        <v>1050000</v>
      </c>
      <c r="I35" s="20">
        <v>0</v>
      </c>
      <c r="J35" s="11">
        <v>0</v>
      </c>
      <c r="K35" s="24">
        <f>L35+T35+U35+AF35</f>
        <v>0</v>
      </c>
      <c r="L35" s="19">
        <f>SUM(M35:S35)</f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5.75" x14ac:dyDescent="0.2">
      <c r="A36" s="3"/>
      <c r="B36" s="165" t="s">
        <v>18</v>
      </c>
      <c r="C36" s="166"/>
      <c r="D36" s="167" t="s">
        <v>19</v>
      </c>
      <c r="E36" s="168">
        <f>E37+E38+E39+E40+E41</f>
        <v>8981372.9199999999</v>
      </c>
      <c r="F36" s="168">
        <f>F37+F38+F39+F40+F41</f>
        <v>4376376.28</v>
      </c>
      <c r="G36" s="170">
        <f t="shared" si="3"/>
        <v>0.48727252714944613</v>
      </c>
      <c r="H36" s="168">
        <f>H37+H38+H39+H40+H41</f>
        <v>8979372.9199999999</v>
      </c>
      <c r="I36" s="168">
        <f>I37+I38+I39+I40+I41</f>
        <v>1719100</v>
      </c>
      <c r="J36" s="170">
        <f t="shared" si="4"/>
        <v>0.19140726204251632</v>
      </c>
      <c r="K36" s="109" t="e">
        <f>K37+K38+K39+K40+K41+#REF!</f>
        <v>#REF!</v>
      </c>
      <c r="L36" s="85" t="e">
        <f>L37+L38+L39+L40+L41+#REF!</f>
        <v>#REF!</v>
      </c>
      <c r="M36" s="85">
        <f t="shared" ref="M36:AF36" si="18">M37+M38+M39+M40+M41</f>
        <v>12000</v>
      </c>
      <c r="N36" s="89" t="e">
        <f>N37+N38+N39+N40+N41+#REF!</f>
        <v>#REF!</v>
      </c>
      <c r="O36" s="89"/>
      <c r="P36" s="85">
        <f t="shared" si="18"/>
        <v>0</v>
      </c>
      <c r="Q36" s="85">
        <f t="shared" si="18"/>
        <v>0</v>
      </c>
      <c r="R36" s="85">
        <f t="shared" si="18"/>
        <v>0</v>
      </c>
      <c r="S36" s="86">
        <f>S37+S38+S39+S40+S41</f>
        <v>27500</v>
      </c>
      <c r="T36" s="85">
        <f t="shared" si="18"/>
        <v>0</v>
      </c>
      <c r="U36" s="85">
        <f t="shared" si="18"/>
        <v>0</v>
      </c>
      <c r="V36" s="85">
        <f t="shared" si="18"/>
        <v>0</v>
      </c>
      <c r="W36" s="85">
        <f t="shared" si="18"/>
        <v>0</v>
      </c>
      <c r="X36" s="85">
        <f t="shared" si="18"/>
        <v>0</v>
      </c>
      <c r="Y36" s="85">
        <f t="shared" si="18"/>
        <v>0</v>
      </c>
      <c r="Z36" s="85">
        <f t="shared" si="18"/>
        <v>0</v>
      </c>
      <c r="AA36" s="85">
        <f t="shared" si="18"/>
        <v>0</v>
      </c>
      <c r="AB36" s="85">
        <f t="shared" si="18"/>
        <v>0</v>
      </c>
      <c r="AC36" s="85">
        <f t="shared" si="18"/>
        <v>0</v>
      </c>
      <c r="AD36" s="85">
        <f t="shared" si="18"/>
        <v>0</v>
      </c>
      <c r="AE36" s="85">
        <f t="shared" si="18"/>
        <v>0</v>
      </c>
      <c r="AF36" s="85">
        <f t="shared" si="18"/>
        <v>0</v>
      </c>
    </row>
    <row r="37" spans="1:32" x14ac:dyDescent="0.2">
      <c r="A37" s="4"/>
      <c r="B37" s="31"/>
      <c r="C37" s="42" t="s">
        <v>122</v>
      </c>
      <c r="D37" s="134" t="s">
        <v>123</v>
      </c>
      <c r="E37" s="32">
        <v>42500</v>
      </c>
      <c r="F37" s="20">
        <v>22297.03</v>
      </c>
      <c r="G37" s="11">
        <f t="shared" si="3"/>
        <v>0.52463599999999999</v>
      </c>
      <c r="H37" s="20">
        <v>42500</v>
      </c>
      <c r="I37" s="20">
        <v>34500</v>
      </c>
      <c r="J37" s="11">
        <f t="shared" si="4"/>
        <v>0.81176470588235294</v>
      </c>
      <c r="K37" s="24">
        <f>L37+T37+U37+AF37</f>
        <v>43000</v>
      </c>
      <c r="L37" s="19">
        <f t="shared" ref="L37:L41" si="19">SUM(M37:S37)</f>
        <v>43000</v>
      </c>
      <c r="M37" s="55">
        <v>12000</v>
      </c>
      <c r="N37" s="55">
        <v>20000</v>
      </c>
      <c r="O37" s="55"/>
      <c r="P37" s="19"/>
      <c r="Q37" s="19"/>
      <c r="R37" s="19"/>
      <c r="S37" s="55">
        <v>11000</v>
      </c>
      <c r="T37" s="19"/>
      <c r="U37" s="19">
        <f>SUM(V37:AE37)</f>
        <v>0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x14ac:dyDescent="0.2">
      <c r="A38" s="4"/>
      <c r="B38" s="31"/>
      <c r="C38" s="42" t="s">
        <v>140</v>
      </c>
      <c r="D38" s="134" t="s">
        <v>141</v>
      </c>
      <c r="E38" s="32">
        <v>168000</v>
      </c>
      <c r="F38" s="20">
        <v>0</v>
      </c>
      <c r="G38" s="11">
        <f t="shared" si="3"/>
        <v>0</v>
      </c>
      <c r="H38" s="20">
        <v>168000</v>
      </c>
      <c r="I38" s="20">
        <v>358000</v>
      </c>
      <c r="J38" s="11">
        <f t="shared" si="4"/>
        <v>2.1309523809523809</v>
      </c>
      <c r="K38" s="24">
        <f t="shared" ref="K38:K41" si="20">L38+T38+U38+AF38</f>
        <v>168000</v>
      </c>
      <c r="L38" s="19">
        <f t="shared" si="19"/>
        <v>168000</v>
      </c>
      <c r="M38" s="19"/>
      <c r="N38" s="101">
        <v>168000</v>
      </c>
      <c r="O38" s="55"/>
      <c r="P38" s="19"/>
      <c r="Q38" s="19"/>
      <c r="R38" s="19"/>
      <c r="S38" s="19"/>
      <c r="T38" s="19"/>
      <c r="U38" s="19">
        <f>SUM(V38:AE38)</f>
        <v>0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x14ac:dyDescent="0.2">
      <c r="A39" s="4"/>
      <c r="B39" s="31"/>
      <c r="C39" s="42" t="s">
        <v>124</v>
      </c>
      <c r="D39" s="134" t="s">
        <v>125</v>
      </c>
      <c r="E39" s="32">
        <v>1006660</v>
      </c>
      <c r="F39" s="20">
        <v>861088.87</v>
      </c>
      <c r="G39" s="11">
        <f t="shared" si="3"/>
        <v>0.85539195954940095</v>
      </c>
      <c r="H39" s="20">
        <v>1006660</v>
      </c>
      <c r="I39" s="20">
        <v>1314600</v>
      </c>
      <c r="J39" s="11">
        <f t="shared" si="4"/>
        <v>1.3059026880972722</v>
      </c>
      <c r="K39" s="24">
        <f t="shared" si="20"/>
        <v>1096500</v>
      </c>
      <c r="L39" s="19">
        <f t="shared" si="19"/>
        <v>1096500</v>
      </c>
      <c r="M39" s="19"/>
      <c r="N39" s="106">
        <v>1080000</v>
      </c>
      <c r="O39" s="55"/>
      <c r="P39" s="19"/>
      <c r="Q39" s="19"/>
      <c r="R39" s="19"/>
      <c r="S39" s="55">
        <v>16500</v>
      </c>
      <c r="T39" s="19"/>
      <c r="U39" s="19">
        <f>SUM(V39:AE39)</f>
        <v>0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x14ac:dyDescent="0.2">
      <c r="A40" s="4"/>
      <c r="B40" s="31"/>
      <c r="C40" s="42" t="s">
        <v>126</v>
      </c>
      <c r="D40" s="134" t="s">
        <v>127</v>
      </c>
      <c r="E40" s="32">
        <v>12000</v>
      </c>
      <c r="F40" s="20">
        <v>7342.82</v>
      </c>
      <c r="G40" s="11">
        <f t="shared" si="3"/>
        <v>0.61190166666666668</v>
      </c>
      <c r="H40" s="20">
        <v>10000</v>
      </c>
      <c r="I40" s="20">
        <v>12000</v>
      </c>
      <c r="J40" s="11">
        <f t="shared" si="4"/>
        <v>1</v>
      </c>
      <c r="K40" s="24">
        <f t="shared" si="20"/>
        <v>12000</v>
      </c>
      <c r="L40" s="19">
        <f t="shared" si="19"/>
        <v>12000</v>
      </c>
      <c r="M40" s="19"/>
      <c r="N40" s="55">
        <v>12000</v>
      </c>
      <c r="O40" s="55"/>
      <c r="P40" s="19"/>
      <c r="Q40" s="19"/>
      <c r="R40" s="19"/>
      <c r="S40" s="19"/>
      <c r="T40" s="19"/>
      <c r="U40" s="19">
        <f>SUM(V40:AE40)</f>
        <v>0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25.5" customHeight="1" x14ac:dyDescent="0.2">
      <c r="A41" s="4"/>
      <c r="B41" s="31"/>
      <c r="C41" s="42" t="s">
        <v>142</v>
      </c>
      <c r="D41" s="134" t="s">
        <v>143</v>
      </c>
      <c r="E41" s="32">
        <v>7752212.9199999999</v>
      </c>
      <c r="F41" s="20">
        <v>3485647.56</v>
      </c>
      <c r="G41" s="11">
        <f t="shared" si="3"/>
        <v>0.44963258826487446</v>
      </c>
      <c r="H41" s="20">
        <v>7752212.9199999999</v>
      </c>
      <c r="I41" s="20">
        <v>0</v>
      </c>
      <c r="J41" s="11">
        <f t="shared" si="4"/>
        <v>0</v>
      </c>
      <c r="K41" s="24">
        <f t="shared" si="20"/>
        <v>0</v>
      </c>
      <c r="L41" s="19">
        <f t="shared" si="19"/>
        <v>0</v>
      </c>
      <c r="M41" s="19"/>
      <c r="N41" s="19">
        <v>0</v>
      </c>
      <c r="O41" s="19"/>
      <c r="P41" s="19"/>
      <c r="Q41" s="19"/>
      <c r="R41" s="19"/>
      <c r="S41" s="19"/>
      <c r="T41" s="19"/>
      <c r="U41" s="19">
        <f>SUM(V41:AE41)</f>
        <v>0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26.25" customHeight="1" x14ac:dyDescent="0.2">
      <c r="A42" s="155" t="s">
        <v>144</v>
      </c>
      <c r="B42" s="156"/>
      <c r="C42" s="157"/>
      <c r="D42" s="158" t="s">
        <v>145</v>
      </c>
      <c r="E42" s="159">
        <f>E43</f>
        <v>112016</v>
      </c>
      <c r="F42" s="159">
        <f t="shared" ref="F42:AF42" si="21">F43</f>
        <v>51814.74</v>
      </c>
      <c r="G42" s="87">
        <f t="shared" si="3"/>
        <v>0.46256552635337805</v>
      </c>
      <c r="H42" s="159">
        <f t="shared" si="21"/>
        <v>108000</v>
      </c>
      <c r="I42" s="159">
        <f t="shared" si="21"/>
        <v>145500</v>
      </c>
      <c r="J42" s="87">
        <f t="shared" si="4"/>
        <v>1.2989215826310527</v>
      </c>
      <c r="K42" s="125" t="e">
        <f t="shared" si="21"/>
        <v>#REF!</v>
      </c>
      <c r="L42" s="27" t="e">
        <f t="shared" si="21"/>
        <v>#REF!</v>
      </c>
      <c r="M42" s="27" t="e">
        <f t="shared" si="21"/>
        <v>#REF!</v>
      </c>
      <c r="N42" s="27" t="e">
        <f t="shared" si="21"/>
        <v>#REF!</v>
      </c>
      <c r="O42" s="27"/>
      <c r="P42" s="27" t="e">
        <f t="shared" si="21"/>
        <v>#REF!</v>
      </c>
      <c r="Q42" s="27" t="e">
        <f t="shared" si="21"/>
        <v>#REF!</v>
      </c>
      <c r="R42" s="27" t="e">
        <f t="shared" si="21"/>
        <v>#REF!</v>
      </c>
      <c r="S42" s="28" t="e">
        <f>S43</f>
        <v>#REF!</v>
      </c>
      <c r="T42" s="27" t="e">
        <f t="shared" si="21"/>
        <v>#REF!</v>
      </c>
      <c r="U42" s="27" t="e">
        <f t="shared" si="21"/>
        <v>#REF!</v>
      </c>
      <c r="V42" s="27" t="e">
        <f t="shared" si="21"/>
        <v>#REF!</v>
      </c>
      <c r="W42" s="27" t="e">
        <f t="shared" si="21"/>
        <v>#REF!</v>
      </c>
      <c r="X42" s="27" t="e">
        <f t="shared" si="21"/>
        <v>#REF!</v>
      </c>
      <c r="Y42" s="27" t="e">
        <f t="shared" si="21"/>
        <v>#REF!</v>
      </c>
      <c r="Z42" s="27" t="e">
        <f t="shared" si="21"/>
        <v>#REF!</v>
      </c>
      <c r="AA42" s="27" t="e">
        <f t="shared" si="21"/>
        <v>#REF!</v>
      </c>
      <c r="AB42" s="27" t="e">
        <f t="shared" si="21"/>
        <v>#REF!</v>
      </c>
      <c r="AC42" s="27" t="e">
        <f t="shared" si="21"/>
        <v>#REF!</v>
      </c>
      <c r="AD42" s="27" t="e">
        <f t="shared" si="21"/>
        <v>#REF!</v>
      </c>
      <c r="AE42" s="27" t="e">
        <f t="shared" si="21"/>
        <v>#REF!</v>
      </c>
      <c r="AF42" s="27" t="e">
        <f t="shared" si="21"/>
        <v>#REF!</v>
      </c>
    </row>
    <row r="43" spans="1:32" ht="15.75" x14ac:dyDescent="0.2">
      <c r="A43" s="3"/>
      <c r="B43" s="165" t="s">
        <v>146</v>
      </c>
      <c r="C43" s="166"/>
      <c r="D43" s="167" t="s">
        <v>10</v>
      </c>
      <c r="E43" s="168">
        <f>E44+E45+E46</f>
        <v>112016</v>
      </c>
      <c r="F43" s="168">
        <f>F44+F45+F46</f>
        <v>51814.74</v>
      </c>
      <c r="G43" s="170">
        <f t="shared" si="3"/>
        <v>0.46256552635337805</v>
      </c>
      <c r="H43" s="168">
        <f>H44+H45+H46</f>
        <v>108000</v>
      </c>
      <c r="I43" s="168">
        <f>I44+I45+I46</f>
        <v>145500</v>
      </c>
      <c r="J43" s="170">
        <f t="shared" si="4"/>
        <v>1.2989215826310527</v>
      </c>
      <c r="K43" s="109" t="e">
        <f>K44+K45+K46+#REF!</f>
        <v>#REF!</v>
      </c>
      <c r="L43" s="85" t="e">
        <f>L44+L45+L46+#REF!</f>
        <v>#REF!</v>
      </c>
      <c r="M43" s="85" t="e">
        <f>M44+M45+M46+#REF!</f>
        <v>#REF!</v>
      </c>
      <c r="N43" s="85" t="e">
        <f>N44+N45+N46+#REF!</f>
        <v>#REF!</v>
      </c>
      <c r="O43" s="85"/>
      <c r="P43" s="85" t="e">
        <f>P44+P45+P46+#REF!</f>
        <v>#REF!</v>
      </c>
      <c r="Q43" s="85" t="e">
        <f>Q44+Q45+Q46+#REF!</f>
        <v>#REF!</v>
      </c>
      <c r="R43" s="85" t="e">
        <f>R44+R45+R46+#REF!</f>
        <v>#REF!</v>
      </c>
      <c r="S43" s="86" t="e">
        <f>S44+S45+S46+#REF!</f>
        <v>#REF!</v>
      </c>
      <c r="T43" s="85" t="e">
        <f>T44+T45+T46+#REF!</f>
        <v>#REF!</v>
      </c>
      <c r="U43" s="85" t="e">
        <f>U44+U45+U46+#REF!</f>
        <v>#REF!</v>
      </c>
      <c r="V43" s="85" t="e">
        <f>V44+V45+V46+#REF!</f>
        <v>#REF!</v>
      </c>
      <c r="W43" s="85" t="e">
        <f>W44+W45+W46+#REF!</f>
        <v>#REF!</v>
      </c>
      <c r="X43" s="85" t="e">
        <f>X44+X45+X46+#REF!</f>
        <v>#REF!</v>
      </c>
      <c r="Y43" s="85" t="e">
        <f>Y44+Y45+Y46+#REF!</f>
        <v>#REF!</v>
      </c>
      <c r="Z43" s="85" t="e">
        <f>Z44+Z45+Z46+#REF!</f>
        <v>#REF!</v>
      </c>
      <c r="AA43" s="85" t="e">
        <f>AA44+AA45+AA46+#REF!</f>
        <v>#REF!</v>
      </c>
      <c r="AB43" s="85" t="e">
        <f>AB44+AB45+AB46+#REF!</f>
        <v>#REF!</v>
      </c>
      <c r="AC43" s="85" t="e">
        <f>AC44+AC45+AC46+#REF!</f>
        <v>#REF!</v>
      </c>
      <c r="AD43" s="85" t="e">
        <f>AD44+AD45+AD46+#REF!</f>
        <v>#REF!</v>
      </c>
      <c r="AE43" s="85" t="e">
        <f>AE44+AE45+AE46+#REF!</f>
        <v>#REF!</v>
      </c>
      <c r="AF43" s="85" t="e">
        <f>AF44+AF45+AF46+#REF!</f>
        <v>#REF!</v>
      </c>
    </row>
    <row r="44" spans="1:32" x14ac:dyDescent="0.2">
      <c r="A44" s="4"/>
      <c r="B44" s="31"/>
      <c r="C44" s="42" t="s">
        <v>122</v>
      </c>
      <c r="D44" s="134" t="s">
        <v>123</v>
      </c>
      <c r="E44" s="32">
        <v>18500</v>
      </c>
      <c r="F44" s="20">
        <v>13765.54</v>
      </c>
      <c r="G44" s="11">
        <f t="shared" si="3"/>
        <v>0.74408324324324326</v>
      </c>
      <c r="H44" s="20">
        <v>15000</v>
      </c>
      <c r="I44" s="20">
        <v>23500</v>
      </c>
      <c r="J44" s="11">
        <f t="shared" si="4"/>
        <v>1.2702702702702702</v>
      </c>
      <c r="K44" s="24">
        <f>L44+T44+U44+AF44</f>
        <v>12000</v>
      </c>
      <c r="L44" s="19">
        <f>SUM(M44:S44)</f>
        <v>12000</v>
      </c>
      <c r="M44" s="21">
        <v>0</v>
      </c>
      <c r="N44" s="55">
        <v>10000</v>
      </c>
      <c r="O44" s="55"/>
      <c r="P44" s="19"/>
      <c r="Q44" s="19"/>
      <c r="R44" s="19"/>
      <c r="S44" s="55">
        <v>2000</v>
      </c>
      <c r="T44" s="19"/>
      <c r="U44" s="19">
        <f>SUM(V44:AE44)</f>
        <v>0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x14ac:dyDescent="0.2">
      <c r="A45" s="4"/>
      <c r="B45" s="31"/>
      <c r="C45" s="42" t="s">
        <v>124</v>
      </c>
      <c r="D45" s="134" t="s">
        <v>125</v>
      </c>
      <c r="E45" s="32">
        <v>93516</v>
      </c>
      <c r="F45" s="20">
        <v>38049.199999999997</v>
      </c>
      <c r="G45" s="11">
        <f t="shared" si="3"/>
        <v>0.40687369006373236</v>
      </c>
      <c r="H45" s="20">
        <v>93000</v>
      </c>
      <c r="I45" s="20">
        <v>122000</v>
      </c>
      <c r="J45" s="11">
        <f t="shared" si="4"/>
        <v>1.304589588947346</v>
      </c>
      <c r="K45" s="24">
        <f t="shared" ref="K45:K46" si="22">L45+T45+U45+AF45</f>
        <v>150000</v>
      </c>
      <c r="L45" s="19">
        <f>SUM(M45:S45)</f>
        <v>150000</v>
      </c>
      <c r="M45" s="19"/>
      <c r="N45" s="101">
        <v>150000</v>
      </c>
      <c r="O45" s="55"/>
      <c r="P45" s="19"/>
      <c r="Q45" s="19"/>
      <c r="R45" s="19"/>
      <c r="S45" s="19"/>
      <c r="T45" s="19"/>
      <c r="U45" s="19">
        <f>SUM(V45:AE45)</f>
        <v>0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22.5" hidden="1" x14ac:dyDescent="0.2">
      <c r="A46" s="4"/>
      <c r="B46" s="31"/>
      <c r="C46" s="42" t="s">
        <v>147</v>
      </c>
      <c r="D46" s="134" t="s">
        <v>148</v>
      </c>
      <c r="E46" s="32"/>
      <c r="F46" s="20"/>
      <c r="G46" s="11">
        <v>0</v>
      </c>
      <c r="H46" s="20"/>
      <c r="I46" s="20"/>
      <c r="J46" s="11">
        <v>0</v>
      </c>
      <c r="K46" s="24">
        <f t="shared" si="22"/>
        <v>0</v>
      </c>
      <c r="L46" s="19">
        <f>SUM(M46:S46)</f>
        <v>0</v>
      </c>
      <c r="M46" s="19"/>
      <c r="N46" s="19">
        <v>0</v>
      </c>
      <c r="O46" s="19"/>
      <c r="P46" s="19"/>
      <c r="Q46" s="19"/>
      <c r="R46" s="19"/>
      <c r="S46" s="19"/>
      <c r="T46" s="19"/>
      <c r="U46" s="19">
        <f>SUM(V46:AE46)</f>
        <v>0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23.25" customHeight="1" x14ac:dyDescent="0.2">
      <c r="A47" s="155" t="s">
        <v>20</v>
      </c>
      <c r="B47" s="156"/>
      <c r="C47" s="157"/>
      <c r="D47" s="158" t="s">
        <v>21</v>
      </c>
      <c r="E47" s="159">
        <f>E48+E50</f>
        <v>1181701.06</v>
      </c>
      <c r="F47" s="159">
        <f t="shared" ref="F47:AF47" si="23">F48+F50</f>
        <v>822348.25</v>
      </c>
      <c r="G47" s="87">
        <f t="shared" si="3"/>
        <v>0.69590210065479674</v>
      </c>
      <c r="H47" s="159">
        <f t="shared" si="23"/>
        <v>1032732.21</v>
      </c>
      <c r="I47" s="159">
        <f t="shared" si="23"/>
        <v>950443.27</v>
      </c>
      <c r="J47" s="87">
        <f t="shared" si="4"/>
        <v>0.80430093715918305</v>
      </c>
      <c r="K47" s="108" t="e">
        <f t="shared" si="23"/>
        <v>#REF!</v>
      </c>
      <c r="L47" s="12" t="e">
        <f t="shared" si="23"/>
        <v>#REF!</v>
      </c>
      <c r="M47" s="12" t="e">
        <f t="shared" si="23"/>
        <v>#REF!</v>
      </c>
      <c r="N47" s="12" t="e">
        <f t="shared" si="23"/>
        <v>#REF!</v>
      </c>
      <c r="O47" s="12"/>
      <c r="P47" s="12" t="e">
        <f t="shared" si="23"/>
        <v>#REF!</v>
      </c>
      <c r="Q47" s="12" t="e">
        <f t="shared" si="23"/>
        <v>#REF!</v>
      </c>
      <c r="R47" s="12" t="e">
        <f t="shared" si="23"/>
        <v>#REF!</v>
      </c>
      <c r="S47" s="16" t="e">
        <f>S48+S50</f>
        <v>#REF!</v>
      </c>
      <c r="T47" s="12" t="e">
        <f t="shared" si="23"/>
        <v>#REF!</v>
      </c>
      <c r="U47" s="12" t="e">
        <f t="shared" si="23"/>
        <v>#REF!</v>
      </c>
      <c r="V47" s="12" t="e">
        <f t="shared" si="23"/>
        <v>#REF!</v>
      </c>
      <c r="W47" s="12" t="e">
        <f t="shared" si="23"/>
        <v>#REF!</v>
      </c>
      <c r="X47" s="12" t="e">
        <f t="shared" si="23"/>
        <v>#REF!</v>
      </c>
      <c r="Y47" s="12" t="e">
        <f t="shared" si="23"/>
        <v>#REF!</v>
      </c>
      <c r="Z47" s="12" t="e">
        <f t="shared" si="23"/>
        <v>#REF!</v>
      </c>
      <c r="AA47" s="12" t="e">
        <f t="shared" si="23"/>
        <v>#REF!</v>
      </c>
      <c r="AB47" s="12" t="e">
        <f t="shared" si="23"/>
        <v>#REF!</v>
      </c>
      <c r="AC47" s="12" t="e">
        <f t="shared" si="23"/>
        <v>#REF!</v>
      </c>
      <c r="AD47" s="12" t="e">
        <f t="shared" si="23"/>
        <v>#REF!</v>
      </c>
      <c r="AE47" s="12" t="e">
        <f t="shared" si="23"/>
        <v>#REF!</v>
      </c>
      <c r="AF47" s="12" t="e">
        <f t="shared" si="23"/>
        <v>#REF!</v>
      </c>
    </row>
    <row r="48" spans="1:32" ht="15.75" x14ac:dyDescent="0.2">
      <c r="A48" s="3"/>
      <c r="B48" s="165" t="s">
        <v>151</v>
      </c>
      <c r="C48" s="166"/>
      <c r="D48" s="167" t="s">
        <v>152</v>
      </c>
      <c r="E48" s="168">
        <f>E49</f>
        <v>463166.21</v>
      </c>
      <c r="F48" s="168">
        <f t="shared" ref="F48:AF48" si="24">F49</f>
        <v>463166.21</v>
      </c>
      <c r="G48" s="170">
        <f t="shared" si="3"/>
        <v>1</v>
      </c>
      <c r="H48" s="168">
        <f t="shared" si="24"/>
        <v>463166.21</v>
      </c>
      <c r="I48" s="168">
        <f t="shared" si="24"/>
        <v>510443.27</v>
      </c>
      <c r="J48" s="170">
        <f t="shared" si="4"/>
        <v>1.1020736378847671</v>
      </c>
      <c r="K48" s="109">
        <f t="shared" si="24"/>
        <v>463166.21</v>
      </c>
      <c r="L48" s="85">
        <f t="shared" si="24"/>
        <v>463166.21</v>
      </c>
      <c r="M48" s="85">
        <f t="shared" si="24"/>
        <v>0</v>
      </c>
      <c r="N48" s="85">
        <f t="shared" si="24"/>
        <v>0</v>
      </c>
      <c r="O48" s="85"/>
      <c r="P48" s="85">
        <f t="shared" si="24"/>
        <v>0</v>
      </c>
      <c r="Q48" s="85">
        <f t="shared" si="24"/>
        <v>463166.21</v>
      </c>
      <c r="R48" s="85">
        <f t="shared" si="24"/>
        <v>0</v>
      </c>
      <c r="S48" s="86">
        <f>S49</f>
        <v>0</v>
      </c>
      <c r="T48" s="85">
        <f t="shared" si="24"/>
        <v>0</v>
      </c>
      <c r="U48" s="85">
        <f t="shared" si="24"/>
        <v>0</v>
      </c>
      <c r="V48" s="85">
        <f t="shared" si="24"/>
        <v>0</v>
      </c>
      <c r="W48" s="85">
        <f t="shared" si="24"/>
        <v>0</v>
      </c>
      <c r="X48" s="85">
        <f t="shared" si="24"/>
        <v>0</v>
      </c>
      <c r="Y48" s="85">
        <f t="shared" si="24"/>
        <v>0</v>
      </c>
      <c r="Z48" s="85">
        <f t="shared" si="24"/>
        <v>0</v>
      </c>
      <c r="AA48" s="85">
        <f t="shared" si="24"/>
        <v>0</v>
      </c>
      <c r="AB48" s="85">
        <f t="shared" si="24"/>
        <v>0</v>
      </c>
      <c r="AC48" s="85">
        <f t="shared" si="24"/>
        <v>0</v>
      </c>
      <c r="AD48" s="85">
        <f t="shared" si="24"/>
        <v>0</v>
      </c>
      <c r="AE48" s="85">
        <f t="shared" si="24"/>
        <v>0</v>
      </c>
      <c r="AF48" s="85">
        <f t="shared" si="24"/>
        <v>0</v>
      </c>
    </row>
    <row r="49" spans="1:32" ht="22.5" x14ac:dyDescent="0.2">
      <c r="A49" s="4"/>
      <c r="B49" s="31"/>
      <c r="C49" s="42" t="s">
        <v>153</v>
      </c>
      <c r="D49" s="134" t="s">
        <v>154</v>
      </c>
      <c r="E49" s="32">
        <v>463166.21</v>
      </c>
      <c r="F49" s="20">
        <v>463166.21</v>
      </c>
      <c r="G49" s="11">
        <f t="shared" si="3"/>
        <v>1</v>
      </c>
      <c r="H49" s="20">
        <v>463166.21</v>
      </c>
      <c r="I49" s="20">
        <v>510443.27</v>
      </c>
      <c r="J49" s="11">
        <f t="shared" si="4"/>
        <v>1.1020736378847671</v>
      </c>
      <c r="K49" s="24">
        <f>L49+T49+U49+AF49</f>
        <v>463166.21</v>
      </c>
      <c r="L49" s="19">
        <f>SUM(M49:S49)</f>
        <v>463166.21</v>
      </c>
      <c r="M49" s="59">
        <v>0</v>
      </c>
      <c r="N49" s="9"/>
      <c r="O49" s="9"/>
      <c r="P49" s="9"/>
      <c r="Q49" s="100">
        <v>463166.21</v>
      </c>
      <c r="R49" s="9"/>
      <c r="S49" s="9"/>
      <c r="T49" s="9"/>
      <c r="U49" s="19">
        <f>SUM(V49:AE49)</f>
        <v>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22.5" customHeight="1" x14ac:dyDescent="0.2">
      <c r="A50" s="3"/>
      <c r="B50" s="165" t="s">
        <v>22</v>
      </c>
      <c r="C50" s="166"/>
      <c r="D50" s="167" t="s">
        <v>23</v>
      </c>
      <c r="E50" s="168">
        <f>E51+E52+E53+E54+E55+E56+E57+E58+E59+E60+E61+E62</f>
        <v>718534.85</v>
      </c>
      <c r="F50" s="168">
        <f>F51+F52+F53+F54+F55+F56+F57+F58+F59+F60+F61+F62</f>
        <v>359182.04</v>
      </c>
      <c r="G50" s="170">
        <f t="shared" si="3"/>
        <v>0.49988116790716552</v>
      </c>
      <c r="H50" s="168">
        <f>H51+H52+H53+H54+H55+H56+H57+H58+H59+H60+H61+H62</f>
        <v>569566</v>
      </c>
      <c r="I50" s="168">
        <f>I51+I52+I53+I54+I55+I56+I57+I58+I59+I60+I61+I62</f>
        <v>440000</v>
      </c>
      <c r="J50" s="170">
        <f t="shared" si="4"/>
        <v>0.61235721551988742</v>
      </c>
      <c r="K50" s="109" t="e">
        <f>K51+K52+K53+K54+K55+K56+#REF!+K57+K58+K59+K60+K61+K62</f>
        <v>#REF!</v>
      </c>
      <c r="L50" s="85" t="e">
        <f>L51+L52+L53+L54+L55+L56+#REF!+L57+L58+L59+L60+L61+L62+#REF!</f>
        <v>#REF!</v>
      </c>
      <c r="M50" s="85" t="e">
        <f>M51+M52+M53+M54+M55+M56+#REF!+M57+M58+M59+M60+M61+M62</f>
        <v>#REF!</v>
      </c>
      <c r="N50" s="85" t="e">
        <f>N51+N52+N53+N54+N55+N56+#REF!+N57+N58+N59+N60+N61+N62</f>
        <v>#REF!</v>
      </c>
      <c r="O50" s="85"/>
      <c r="P50" s="85" t="e">
        <f>P51+P52+P53+P54+P55+P56+#REF!+P57+P58+P59+P60+P61+P62</f>
        <v>#REF!</v>
      </c>
      <c r="Q50" s="85" t="e">
        <f>Q51+Q52+Q53+Q54+Q55+Q56+#REF!+Q57+Q58+Q59+Q60+Q61+Q62</f>
        <v>#REF!</v>
      </c>
      <c r="R50" s="85" t="e">
        <f>R51+R52+R53+R54+R55+R56+#REF!+R57+R58+R59+R60+R61+R62</f>
        <v>#REF!</v>
      </c>
      <c r="S50" s="86" t="e">
        <f>S51+S52+S53+S54+S55+S56+#REF!+S57+S58+S59+S60+S61+S62</f>
        <v>#REF!</v>
      </c>
      <c r="T50" s="85" t="e">
        <f>T51+T52+T53+T54+T55+T56+#REF!+T57+T58+T59+T60+T61+T62</f>
        <v>#REF!</v>
      </c>
      <c r="U50" s="85" t="e">
        <f>U51+U52+U53+U54+U55+U56+#REF!+U57+U58+U59+U60+U61+U62</f>
        <v>#REF!</v>
      </c>
      <c r="V50" s="85" t="e">
        <f>V51+V52+V53+V54+V55+V56+#REF!+V57+V58+V59+V60+V61+V62</f>
        <v>#REF!</v>
      </c>
      <c r="W50" s="85" t="e">
        <f>W51+W52+W53+W54+W55+W56+#REF!+W57+W58+W59+W60+W61+W62</f>
        <v>#REF!</v>
      </c>
      <c r="X50" s="85" t="e">
        <f>X51+X52+X53+X54+X55+X56+#REF!+X57+X58+X59+X60+X61+X62</f>
        <v>#REF!</v>
      </c>
      <c r="Y50" s="85" t="e">
        <f>Y51+Y52+Y53+Y54+Y55+Y56+#REF!+Y57+Y58+Y59+Y60+Y61+Y62</f>
        <v>#REF!</v>
      </c>
      <c r="Z50" s="85" t="e">
        <f>Z51+Z52+Z53+Z54+Z55+Z56+#REF!+Z57+Z58+Z59+Z60+Z61+Z62</f>
        <v>#REF!</v>
      </c>
      <c r="AA50" s="85" t="e">
        <f>AA51+AA52+AA53+AA54+AA55+AA56+#REF!+AA57+AA58+AA59+AA60+AA61+AA62</f>
        <v>#REF!</v>
      </c>
      <c r="AB50" s="85" t="e">
        <f>AB51+AB52+AB53+AB54+AB55+AB56+#REF!+AB57+AB58+AB59+AB60+AB61+AB62</f>
        <v>#REF!</v>
      </c>
      <c r="AC50" s="85" t="e">
        <f>AC51+AC52+AC53+AC54+AC55+AC56+#REF!+AC57+AC58+AC59+AC60+AC61+AC62</f>
        <v>#REF!</v>
      </c>
      <c r="AD50" s="85" t="e">
        <f>AD51+AD52+AD53+AD54+AD55+AD56+#REF!+AD57+AD58+AD59+AD60+AD61+AD62</f>
        <v>#REF!</v>
      </c>
      <c r="AE50" s="85" t="e">
        <f>AE51+AE52+AE53+AE54+AE55+AE56+#REF!+AE57+AE58+AE59+AE60+AE61+AE62</f>
        <v>#REF!</v>
      </c>
      <c r="AF50" s="85" t="e">
        <f>AF51+AF52+AF53+AF54+AF55+AF56+#REF!+AF57+AF58+AF59+AF60+AF61+AF62</f>
        <v>#REF!</v>
      </c>
    </row>
    <row r="51" spans="1:32" x14ac:dyDescent="0.2">
      <c r="A51" s="4"/>
      <c r="B51" s="31"/>
      <c r="C51" s="42" t="s">
        <v>122</v>
      </c>
      <c r="D51" s="134" t="s">
        <v>123</v>
      </c>
      <c r="E51" s="32">
        <v>5000</v>
      </c>
      <c r="F51" s="20">
        <v>229.9</v>
      </c>
      <c r="G51" s="11">
        <f t="shared" si="3"/>
        <v>4.598E-2</v>
      </c>
      <c r="H51" s="20">
        <v>5000</v>
      </c>
      <c r="I51" s="20">
        <v>5000</v>
      </c>
      <c r="J51" s="11">
        <f t="shared" si="4"/>
        <v>1</v>
      </c>
      <c r="K51" s="24">
        <f>L51+T51+U51+AF51</f>
        <v>5000</v>
      </c>
      <c r="L51" s="19">
        <f>SUM(M51:S51)</f>
        <v>5000</v>
      </c>
      <c r="M51" s="19"/>
      <c r="N51" s="19"/>
      <c r="O51" s="19"/>
      <c r="P51" s="55">
        <v>5000</v>
      </c>
      <c r="Q51" s="19"/>
      <c r="R51" s="19"/>
      <c r="S51" s="19"/>
      <c r="T51" s="19"/>
      <c r="U51" s="19">
        <f>SUM(V51:AE51)</f>
        <v>0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x14ac:dyDescent="0.2">
      <c r="A52" s="4"/>
      <c r="B52" s="31"/>
      <c r="C52" s="42" t="s">
        <v>130</v>
      </c>
      <c r="D52" s="134" t="s">
        <v>131</v>
      </c>
      <c r="E52" s="32">
        <v>115000</v>
      </c>
      <c r="F52" s="20">
        <v>89970.37</v>
      </c>
      <c r="G52" s="11">
        <f t="shared" si="3"/>
        <v>0.78235104347826079</v>
      </c>
      <c r="H52" s="20">
        <v>115000</v>
      </c>
      <c r="I52" s="20">
        <v>105000</v>
      </c>
      <c r="J52" s="11">
        <f t="shared" si="4"/>
        <v>0.91304347826086951</v>
      </c>
      <c r="K52" s="24">
        <f t="shared" ref="K52:K62" si="25">L52+T52+U52+AF52</f>
        <v>115000</v>
      </c>
      <c r="L52" s="19">
        <f t="shared" ref="L52:L62" si="26">SUM(M52:S52)</f>
        <v>115000</v>
      </c>
      <c r="M52" s="19"/>
      <c r="N52" s="19"/>
      <c r="O52" s="19"/>
      <c r="P52" s="55">
        <v>115000</v>
      </c>
      <c r="Q52" s="19"/>
      <c r="R52" s="19"/>
      <c r="S52" s="19"/>
      <c r="T52" s="19"/>
      <c r="U52" s="19">
        <f t="shared" ref="U52:U62" si="27">SUM(V52:AE52)</f>
        <v>0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x14ac:dyDescent="0.2">
      <c r="A53" s="4"/>
      <c r="B53" s="31"/>
      <c r="C53" s="42" t="s">
        <v>140</v>
      </c>
      <c r="D53" s="134" t="s">
        <v>141</v>
      </c>
      <c r="E53" s="32">
        <v>15000</v>
      </c>
      <c r="F53" s="20">
        <v>0</v>
      </c>
      <c r="G53" s="11">
        <f t="shared" si="3"/>
        <v>0</v>
      </c>
      <c r="H53" s="20">
        <v>15000</v>
      </c>
      <c r="I53" s="20">
        <v>20000</v>
      </c>
      <c r="J53" s="11">
        <f t="shared" si="4"/>
        <v>1.3333333333333333</v>
      </c>
      <c r="K53" s="24">
        <f t="shared" si="25"/>
        <v>15000</v>
      </c>
      <c r="L53" s="19">
        <f t="shared" si="26"/>
        <v>15000</v>
      </c>
      <c r="M53" s="19"/>
      <c r="N53" s="19"/>
      <c r="O53" s="19"/>
      <c r="P53" s="55">
        <v>15000</v>
      </c>
      <c r="Q53" s="19"/>
      <c r="R53" s="19"/>
      <c r="S53" s="19"/>
      <c r="T53" s="19"/>
      <c r="U53" s="19">
        <f t="shared" si="27"/>
        <v>0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x14ac:dyDescent="0.2">
      <c r="A54" s="4"/>
      <c r="B54" s="31"/>
      <c r="C54" s="42" t="s">
        <v>124</v>
      </c>
      <c r="D54" s="134" t="s">
        <v>125</v>
      </c>
      <c r="E54" s="32">
        <v>210000</v>
      </c>
      <c r="F54" s="20">
        <v>91291.12</v>
      </c>
      <c r="G54" s="11">
        <f t="shared" si="3"/>
        <v>0.43471961904761902</v>
      </c>
      <c r="H54" s="20">
        <v>210000</v>
      </c>
      <c r="I54" s="20">
        <v>113000</v>
      </c>
      <c r="J54" s="11">
        <f t="shared" si="4"/>
        <v>0.53809523809523807</v>
      </c>
      <c r="K54" s="24">
        <f t="shared" si="25"/>
        <v>110000</v>
      </c>
      <c r="L54" s="19">
        <f t="shared" si="26"/>
        <v>110000</v>
      </c>
      <c r="M54" s="55">
        <v>100000</v>
      </c>
      <c r="N54" s="19"/>
      <c r="O54" s="19"/>
      <c r="P54" s="55">
        <v>10000</v>
      </c>
      <c r="Q54" s="19"/>
      <c r="R54" s="19"/>
      <c r="S54" s="19"/>
      <c r="T54" s="19"/>
      <c r="U54" s="19">
        <f t="shared" si="27"/>
        <v>0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x14ac:dyDescent="0.2">
      <c r="A55" s="4"/>
      <c r="B55" s="31"/>
      <c r="C55" s="42" t="s">
        <v>126</v>
      </c>
      <c r="D55" s="134" t="s">
        <v>127</v>
      </c>
      <c r="E55" s="32">
        <v>2000</v>
      </c>
      <c r="F55" s="20">
        <v>610</v>
      </c>
      <c r="G55" s="11">
        <f t="shared" si="3"/>
        <v>0.30499999999999999</v>
      </c>
      <c r="H55" s="20">
        <v>2000</v>
      </c>
      <c r="I55" s="20">
        <v>2000</v>
      </c>
      <c r="J55" s="11">
        <f t="shared" si="4"/>
        <v>1</v>
      </c>
      <c r="K55" s="24">
        <f t="shared" si="25"/>
        <v>2000</v>
      </c>
      <c r="L55" s="19">
        <f t="shared" si="26"/>
        <v>2000</v>
      </c>
      <c r="M55" s="55">
        <v>2000</v>
      </c>
      <c r="N55" s="19"/>
      <c r="O55" s="19"/>
      <c r="P55" s="19"/>
      <c r="Q55" s="19"/>
      <c r="R55" s="19"/>
      <c r="S55" s="19"/>
      <c r="T55" s="19"/>
      <c r="U55" s="19">
        <f t="shared" si="27"/>
        <v>0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22.5" x14ac:dyDescent="0.2">
      <c r="A56" s="4"/>
      <c r="B56" s="31"/>
      <c r="C56" s="42" t="s">
        <v>155</v>
      </c>
      <c r="D56" s="134" t="s">
        <v>156</v>
      </c>
      <c r="E56" s="32">
        <v>700</v>
      </c>
      <c r="F56" s="20">
        <v>662</v>
      </c>
      <c r="G56" s="11">
        <f t="shared" si="3"/>
        <v>0.94571428571428573</v>
      </c>
      <c r="H56" s="20">
        <v>700</v>
      </c>
      <c r="I56" s="20">
        <v>1000</v>
      </c>
      <c r="J56" s="11">
        <f t="shared" si="4"/>
        <v>1.4285714285714286</v>
      </c>
      <c r="K56" s="24">
        <f t="shared" si="25"/>
        <v>700</v>
      </c>
      <c r="L56" s="19">
        <f t="shared" si="26"/>
        <v>700</v>
      </c>
      <c r="M56" s="55">
        <v>700</v>
      </c>
      <c r="N56" s="19"/>
      <c r="O56" s="19"/>
      <c r="P56" s="19"/>
      <c r="Q56" s="19"/>
      <c r="R56" s="19"/>
      <c r="S56" s="19"/>
      <c r="T56" s="19"/>
      <c r="U56" s="19">
        <f t="shared" si="27"/>
        <v>0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22.5" x14ac:dyDescent="0.2">
      <c r="A57" s="4"/>
      <c r="B57" s="31"/>
      <c r="C57" s="42" t="s">
        <v>157</v>
      </c>
      <c r="D57" s="134" t="s">
        <v>158</v>
      </c>
      <c r="E57" s="32">
        <v>5700</v>
      </c>
      <c r="F57" s="20">
        <v>5483.62</v>
      </c>
      <c r="G57" s="11">
        <f t="shared" si="3"/>
        <v>0.96203859649122803</v>
      </c>
      <c r="H57" s="20">
        <v>5700</v>
      </c>
      <c r="I57" s="20">
        <v>6000</v>
      </c>
      <c r="J57" s="11">
        <f t="shared" si="4"/>
        <v>1.0526315789473684</v>
      </c>
      <c r="K57" s="24">
        <f t="shared" si="25"/>
        <v>5500</v>
      </c>
      <c r="L57" s="19">
        <f t="shared" si="26"/>
        <v>5500</v>
      </c>
      <c r="M57" s="55">
        <v>5500</v>
      </c>
      <c r="N57" s="19"/>
      <c r="O57" s="19"/>
      <c r="P57" s="19"/>
      <c r="Q57" s="19"/>
      <c r="R57" s="19"/>
      <c r="S57" s="19"/>
      <c r="T57" s="19"/>
      <c r="U57" s="19">
        <f t="shared" si="27"/>
        <v>0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22.5" x14ac:dyDescent="0.2">
      <c r="A58" s="4"/>
      <c r="B58" s="31"/>
      <c r="C58" s="42" t="s">
        <v>159</v>
      </c>
      <c r="D58" s="134" t="s">
        <v>160</v>
      </c>
      <c r="E58" s="32">
        <v>90000</v>
      </c>
      <c r="F58" s="20">
        <v>116.13</v>
      </c>
      <c r="G58" s="11">
        <f t="shared" si="3"/>
        <v>1.2903333333333332E-3</v>
      </c>
      <c r="H58" s="20">
        <v>5000</v>
      </c>
      <c r="I58" s="20">
        <v>70000</v>
      </c>
      <c r="J58" s="11">
        <f t="shared" si="4"/>
        <v>0.77777777777777779</v>
      </c>
      <c r="K58" s="24">
        <f t="shared" si="25"/>
        <v>30000</v>
      </c>
      <c r="L58" s="19">
        <f t="shared" si="26"/>
        <v>30000</v>
      </c>
      <c r="M58" s="55">
        <v>30000</v>
      </c>
      <c r="N58" s="19"/>
      <c r="O58" s="19"/>
      <c r="P58" s="19"/>
      <c r="Q58" s="19"/>
      <c r="R58" s="19"/>
      <c r="S58" s="19"/>
      <c r="T58" s="19"/>
      <c r="U58" s="19">
        <f t="shared" si="27"/>
        <v>0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33.75" x14ac:dyDescent="0.2">
      <c r="A59" s="4"/>
      <c r="B59" s="31"/>
      <c r="C59" s="42" t="s">
        <v>161</v>
      </c>
      <c r="D59" s="134" t="s">
        <v>162</v>
      </c>
      <c r="E59" s="32">
        <v>59800</v>
      </c>
      <c r="F59" s="20">
        <v>10093.299999999999</v>
      </c>
      <c r="G59" s="11">
        <f t="shared" si="3"/>
        <v>0.16878428093645484</v>
      </c>
      <c r="H59" s="20">
        <v>10100</v>
      </c>
      <c r="I59" s="20">
        <v>50000</v>
      </c>
      <c r="J59" s="11">
        <f t="shared" si="4"/>
        <v>0.83612040133779264</v>
      </c>
      <c r="K59" s="24">
        <f t="shared" si="25"/>
        <v>260000</v>
      </c>
      <c r="L59" s="19">
        <f t="shared" si="26"/>
        <v>260000</v>
      </c>
      <c r="M59" s="101">
        <v>260000</v>
      </c>
      <c r="N59" s="19"/>
      <c r="O59" s="19"/>
      <c r="P59" s="19"/>
      <c r="Q59" s="19"/>
      <c r="R59" s="19"/>
      <c r="S59" s="19"/>
      <c r="T59" s="19"/>
      <c r="U59" s="19">
        <f t="shared" si="27"/>
        <v>0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ht="22.5" x14ac:dyDescent="0.2">
      <c r="A60" s="4"/>
      <c r="B60" s="31"/>
      <c r="C60" s="42" t="s">
        <v>163</v>
      </c>
      <c r="D60" s="134" t="s">
        <v>164</v>
      </c>
      <c r="E60" s="32">
        <v>5000</v>
      </c>
      <c r="F60" s="20">
        <v>800</v>
      </c>
      <c r="G60" s="11">
        <f t="shared" si="3"/>
        <v>0.16</v>
      </c>
      <c r="H60" s="20">
        <v>1066</v>
      </c>
      <c r="I60" s="20">
        <v>8000</v>
      </c>
      <c r="J60" s="11">
        <f t="shared" si="4"/>
        <v>1.6</v>
      </c>
      <c r="K60" s="24">
        <f t="shared" si="25"/>
        <v>5000</v>
      </c>
      <c r="L60" s="19">
        <f t="shared" si="26"/>
        <v>5000</v>
      </c>
      <c r="M60" s="55">
        <v>5000</v>
      </c>
      <c r="N60" s="19"/>
      <c r="O60" s="19"/>
      <c r="P60" s="19"/>
      <c r="Q60" s="19"/>
      <c r="R60" s="19"/>
      <c r="S60" s="19"/>
      <c r="T60" s="19"/>
      <c r="U60" s="19">
        <f t="shared" si="27"/>
        <v>0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ht="22.5" hidden="1" x14ac:dyDescent="0.2">
      <c r="A61" s="4"/>
      <c r="B61" s="31"/>
      <c r="C61" s="42" t="s">
        <v>142</v>
      </c>
      <c r="D61" s="134" t="s">
        <v>143</v>
      </c>
      <c r="E61" s="32"/>
      <c r="F61" s="20"/>
      <c r="G61" s="11">
        <v>0</v>
      </c>
      <c r="H61" s="20"/>
      <c r="I61" s="20"/>
      <c r="J61" s="11">
        <v>0</v>
      </c>
      <c r="K61" s="24">
        <f t="shared" si="25"/>
        <v>0</v>
      </c>
      <c r="L61" s="19">
        <f t="shared" si="26"/>
        <v>0</v>
      </c>
      <c r="M61" s="19">
        <v>0</v>
      </c>
      <c r="N61" s="19"/>
      <c r="O61" s="19"/>
      <c r="P61" s="19"/>
      <c r="Q61" s="19"/>
      <c r="R61" s="19"/>
      <c r="S61" s="19"/>
      <c r="T61" s="19"/>
      <c r="U61" s="19">
        <f t="shared" si="27"/>
        <v>0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ht="22.5" x14ac:dyDescent="0.2">
      <c r="A62" s="4"/>
      <c r="B62" s="31"/>
      <c r="C62" s="42" t="s">
        <v>149</v>
      </c>
      <c r="D62" s="134" t="s">
        <v>150</v>
      </c>
      <c r="E62" s="32">
        <v>210334.85</v>
      </c>
      <c r="F62" s="20">
        <v>159925.6</v>
      </c>
      <c r="G62" s="11">
        <f t="shared" si="3"/>
        <v>0.76033809898835125</v>
      </c>
      <c r="H62" s="20">
        <v>200000</v>
      </c>
      <c r="I62" s="20">
        <v>60000</v>
      </c>
      <c r="J62" s="11">
        <f t="shared" si="4"/>
        <v>0.28525943275686361</v>
      </c>
      <c r="K62" s="24">
        <f t="shared" si="25"/>
        <v>203000</v>
      </c>
      <c r="L62" s="19">
        <f t="shared" si="26"/>
        <v>203000</v>
      </c>
      <c r="M62" s="55">
        <v>200000</v>
      </c>
      <c r="N62" s="19"/>
      <c r="O62" s="19"/>
      <c r="P62" s="19"/>
      <c r="Q62" s="19"/>
      <c r="R62" s="19"/>
      <c r="S62" s="55">
        <v>3000</v>
      </c>
      <c r="T62" s="19"/>
      <c r="U62" s="19">
        <f t="shared" si="27"/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ht="24.75" customHeight="1" x14ac:dyDescent="0.2">
      <c r="A63" s="155" t="s">
        <v>165</v>
      </c>
      <c r="B63" s="156"/>
      <c r="C63" s="157"/>
      <c r="D63" s="158" t="s">
        <v>166</v>
      </c>
      <c r="E63" s="159">
        <f>E64+E67</f>
        <v>171329.77000000002</v>
      </c>
      <c r="F63" s="159">
        <f t="shared" ref="F63:AF63" si="28">F64+F67</f>
        <v>68180.820000000007</v>
      </c>
      <c r="G63" s="87">
        <f t="shared" si="3"/>
        <v>0.39795080563056845</v>
      </c>
      <c r="H63" s="159">
        <f t="shared" si="28"/>
        <v>170000</v>
      </c>
      <c r="I63" s="159">
        <f t="shared" si="28"/>
        <v>213000</v>
      </c>
      <c r="J63" s="87">
        <f t="shared" si="4"/>
        <v>1.2432165174797116</v>
      </c>
      <c r="K63" s="108">
        <f t="shared" si="28"/>
        <v>220000</v>
      </c>
      <c r="L63" s="12">
        <f t="shared" si="28"/>
        <v>220000</v>
      </c>
      <c r="M63" s="12">
        <f t="shared" si="28"/>
        <v>100000</v>
      </c>
      <c r="N63" s="12">
        <f t="shared" si="28"/>
        <v>120000</v>
      </c>
      <c r="O63" s="12"/>
      <c r="P63" s="12">
        <f t="shared" si="28"/>
        <v>0</v>
      </c>
      <c r="Q63" s="12">
        <f t="shared" si="28"/>
        <v>0</v>
      </c>
      <c r="R63" s="12">
        <f t="shared" si="28"/>
        <v>0</v>
      </c>
      <c r="S63" s="16">
        <f>S64+S67</f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  <c r="X63" s="12">
        <f t="shared" si="28"/>
        <v>0</v>
      </c>
      <c r="Y63" s="12">
        <f t="shared" si="28"/>
        <v>0</v>
      </c>
      <c r="Z63" s="12">
        <f t="shared" si="28"/>
        <v>0</v>
      </c>
      <c r="AA63" s="12">
        <f t="shared" si="28"/>
        <v>0</v>
      </c>
      <c r="AB63" s="12">
        <f t="shared" si="28"/>
        <v>0</v>
      </c>
      <c r="AC63" s="12">
        <f t="shared" si="28"/>
        <v>0</v>
      </c>
      <c r="AD63" s="12">
        <f t="shared" si="28"/>
        <v>0</v>
      </c>
      <c r="AE63" s="12">
        <f t="shared" si="28"/>
        <v>0</v>
      </c>
      <c r="AF63" s="12">
        <f t="shared" si="28"/>
        <v>0</v>
      </c>
    </row>
    <row r="64" spans="1:32" ht="22.5" x14ac:dyDescent="0.2">
      <c r="A64" s="3"/>
      <c r="B64" s="165" t="s">
        <v>167</v>
      </c>
      <c r="C64" s="166"/>
      <c r="D64" s="167" t="s">
        <v>168</v>
      </c>
      <c r="E64" s="168">
        <f>E65+E66</f>
        <v>98631.1</v>
      </c>
      <c r="F64" s="168">
        <f t="shared" ref="F64:AF64" si="29">F65+F66</f>
        <v>37183.15</v>
      </c>
      <c r="G64" s="170">
        <f t="shared" si="3"/>
        <v>0.37699214547946841</v>
      </c>
      <c r="H64" s="168">
        <f t="shared" si="29"/>
        <v>98000</v>
      </c>
      <c r="I64" s="168">
        <f t="shared" si="29"/>
        <v>140000</v>
      </c>
      <c r="J64" s="170">
        <f t="shared" si="4"/>
        <v>1.4194305852819242</v>
      </c>
      <c r="K64" s="109">
        <f t="shared" si="29"/>
        <v>100000</v>
      </c>
      <c r="L64" s="85">
        <f t="shared" si="29"/>
        <v>100000</v>
      </c>
      <c r="M64" s="85">
        <f t="shared" si="29"/>
        <v>100000</v>
      </c>
      <c r="N64" s="85">
        <f t="shared" si="29"/>
        <v>0</v>
      </c>
      <c r="O64" s="85"/>
      <c r="P64" s="85">
        <f t="shared" si="29"/>
        <v>0</v>
      </c>
      <c r="Q64" s="85">
        <f t="shared" si="29"/>
        <v>0</v>
      </c>
      <c r="R64" s="85">
        <f t="shared" si="29"/>
        <v>0</v>
      </c>
      <c r="S64" s="86">
        <f>S65+S66</f>
        <v>0</v>
      </c>
      <c r="T64" s="85">
        <f t="shared" si="29"/>
        <v>0</v>
      </c>
      <c r="U64" s="85">
        <f t="shared" si="29"/>
        <v>0</v>
      </c>
      <c r="V64" s="85">
        <f t="shared" si="29"/>
        <v>0</v>
      </c>
      <c r="W64" s="85">
        <f t="shared" si="29"/>
        <v>0</v>
      </c>
      <c r="X64" s="85">
        <f t="shared" si="29"/>
        <v>0</v>
      </c>
      <c r="Y64" s="85">
        <f t="shared" si="29"/>
        <v>0</v>
      </c>
      <c r="Z64" s="85">
        <f t="shared" si="29"/>
        <v>0</v>
      </c>
      <c r="AA64" s="85">
        <f t="shared" si="29"/>
        <v>0</v>
      </c>
      <c r="AB64" s="85">
        <f t="shared" si="29"/>
        <v>0</v>
      </c>
      <c r="AC64" s="85">
        <f t="shared" si="29"/>
        <v>0</v>
      </c>
      <c r="AD64" s="85">
        <f t="shared" si="29"/>
        <v>0</v>
      </c>
      <c r="AE64" s="85">
        <f t="shared" si="29"/>
        <v>0</v>
      </c>
      <c r="AF64" s="85">
        <f t="shared" si="29"/>
        <v>0</v>
      </c>
    </row>
    <row r="65" spans="1:33" x14ac:dyDescent="0.2">
      <c r="A65" s="4"/>
      <c r="B65" s="31"/>
      <c r="C65" s="42" t="s">
        <v>128</v>
      </c>
      <c r="D65" s="134" t="s">
        <v>129</v>
      </c>
      <c r="E65" s="32">
        <v>28631.1</v>
      </c>
      <c r="F65" s="20">
        <v>2265</v>
      </c>
      <c r="G65" s="11">
        <f t="shared" si="3"/>
        <v>7.9109779226086321E-2</v>
      </c>
      <c r="H65" s="20">
        <v>28000</v>
      </c>
      <c r="I65" s="20">
        <v>35000</v>
      </c>
      <c r="J65" s="11">
        <f t="shared" si="4"/>
        <v>1.222446919608398</v>
      </c>
      <c r="K65" s="24">
        <f>L65+T65+U65+AF65</f>
        <v>30000</v>
      </c>
      <c r="L65" s="19">
        <f>SUM(M65:R65)</f>
        <v>30000</v>
      </c>
      <c r="M65" s="55">
        <v>30000</v>
      </c>
      <c r="N65" s="19"/>
      <c r="O65" s="19"/>
      <c r="P65" s="19"/>
      <c r="Q65" s="19"/>
      <c r="R65" s="19"/>
      <c r="S65" s="19"/>
      <c r="T65" s="19"/>
      <c r="U65" s="19">
        <f>SUM(V65:AE65)</f>
        <v>0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3" x14ac:dyDescent="0.2">
      <c r="A66" s="4"/>
      <c r="B66" s="31"/>
      <c r="C66" s="42" t="s">
        <v>124</v>
      </c>
      <c r="D66" s="134" t="s">
        <v>125</v>
      </c>
      <c r="E66" s="32">
        <v>70000</v>
      </c>
      <c r="F66" s="20">
        <v>34918.15</v>
      </c>
      <c r="G66" s="11">
        <f t="shared" si="3"/>
        <v>0.49883071428571429</v>
      </c>
      <c r="H66" s="20">
        <v>70000</v>
      </c>
      <c r="I66" s="20">
        <v>105000</v>
      </c>
      <c r="J66" s="11">
        <f t="shared" si="4"/>
        <v>1.5</v>
      </c>
      <c r="K66" s="24">
        <f>L66+T66+U66+AF66</f>
        <v>70000</v>
      </c>
      <c r="L66" s="19">
        <f>SUM(M66:R66)</f>
        <v>70000</v>
      </c>
      <c r="M66" s="55">
        <v>70000</v>
      </c>
      <c r="N66" s="19"/>
      <c r="O66" s="19"/>
      <c r="P66" s="19"/>
      <c r="Q66" s="19"/>
      <c r="R66" s="19"/>
      <c r="S66" s="19"/>
      <c r="T66" s="19"/>
      <c r="U66" s="19">
        <f>SUM(V66:AE66)</f>
        <v>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3" ht="15.75" x14ac:dyDescent="0.2">
      <c r="A67" s="3"/>
      <c r="B67" s="165" t="s">
        <v>169</v>
      </c>
      <c r="C67" s="166"/>
      <c r="D67" s="167" t="s">
        <v>170</v>
      </c>
      <c r="E67" s="168">
        <f>E69+E70+E71+E68</f>
        <v>72698.67</v>
      </c>
      <c r="F67" s="168">
        <f>F69+F70+F71+F68</f>
        <v>30997.67</v>
      </c>
      <c r="G67" s="170">
        <f t="shared" si="3"/>
        <v>0.42638565464815242</v>
      </c>
      <c r="H67" s="168">
        <f>H69+H70+H71+H68</f>
        <v>72000</v>
      </c>
      <c r="I67" s="168">
        <f>I69+I70+I71+I68</f>
        <v>73000</v>
      </c>
      <c r="J67" s="170">
        <f t="shared" si="4"/>
        <v>1.004144917644298</v>
      </c>
      <c r="K67" s="109">
        <f>K69+K70+K71</f>
        <v>120000</v>
      </c>
      <c r="L67" s="85">
        <f>L69+L70+L71</f>
        <v>120000</v>
      </c>
      <c r="M67" s="85">
        <f t="shared" ref="M67:AF67" si="30">M69+M70</f>
        <v>0</v>
      </c>
      <c r="N67" s="85">
        <f>N69+N70+N71</f>
        <v>120000</v>
      </c>
      <c r="O67" s="85"/>
      <c r="P67" s="85">
        <f t="shared" si="30"/>
        <v>0</v>
      </c>
      <c r="Q67" s="85">
        <f t="shared" si="30"/>
        <v>0</v>
      </c>
      <c r="R67" s="85">
        <f t="shared" si="30"/>
        <v>0</v>
      </c>
      <c r="S67" s="86">
        <f>S69+S70</f>
        <v>0</v>
      </c>
      <c r="T67" s="85">
        <f t="shared" si="30"/>
        <v>0</v>
      </c>
      <c r="U67" s="85">
        <f t="shared" si="30"/>
        <v>0</v>
      </c>
      <c r="V67" s="85">
        <f t="shared" si="30"/>
        <v>0</v>
      </c>
      <c r="W67" s="85">
        <f t="shared" si="30"/>
        <v>0</v>
      </c>
      <c r="X67" s="85">
        <f t="shared" si="30"/>
        <v>0</v>
      </c>
      <c r="Y67" s="85">
        <f t="shared" si="30"/>
        <v>0</v>
      </c>
      <c r="Z67" s="85">
        <f t="shared" si="30"/>
        <v>0</v>
      </c>
      <c r="AA67" s="85">
        <f t="shared" si="30"/>
        <v>0</v>
      </c>
      <c r="AB67" s="85">
        <f t="shared" si="30"/>
        <v>0</v>
      </c>
      <c r="AC67" s="85">
        <f t="shared" si="30"/>
        <v>0</v>
      </c>
      <c r="AD67" s="85">
        <f t="shared" si="30"/>
        <v>0</v>
      </c>
      <c r="AE67" s="85">
        <f t="shared" si="30"/>
        <v>0</v>
      </c>
      <c r="AF67" s="85">
        <f t="shared" si="30"/>
        <v>0</v>
      </c>
    </row>
    <row r="68" spans="1:33" ht="15" x14ac:dyDescent="0.2">
      <c r="A68" s="3"/>
      <c r="B68" s="143"/>
      <c r="C68" s="137" t="s">
        <v>122</v>
      </c>
      <c r="D68" s="144" t="s">
        <v>123</v>
      </c>
      <c r="E68" s="145">
        <v>0</v>
      </c>
      <c r="F68" s="145">
        <v>0</v>
      </c>
      <c r="G68" s="14">
        <v>0</v>
      </c>
      <c r="H68" s="145">
        <v>0</v>
      </c>
      <c r="I68" s="145">
        <v>5000</v>
      </c>
      <c r="J68" s="14">
        <v>0</v>
      </c>
      <c r="K68" s="140"/>
      <c r="L68" s="141"/>
      <c r="M68" s="141"/>
      <c r="N68" s="141"/>
      <c r="O68" s="141"/>
      <c r="P68" s="141"/>
      <c r="Q68" s="141"/>
      <c r="R68" s="141"/>
      <c r="S68" s="142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</row>
    <row r="69" spans="1:33" x14ac:dyDescent="0.2">
      <c r="A69" s="4"/>
      <c r="B69" s="31"/>
      <c r="C69" s="33" t="s">
        <v>140</v>
      </c>
      <c r="D69" s="134" t="s">
        <v>141</v>
      </c>
      <c r="E69" s="32">
        <v>0</v>
      </c>
      <c r="F69" s="20">
        <v>0</v>
      </c>
      <c r="G69" s="11">
        <v>0</v>
      </c>
      <c r="H69" s="20">
        <v>0</v>
      </c>
      <c r="I69" s="20">
        <v>35000</v>
      </c>
      <c r="J69" s="11">
        <v>0</v>
      </c>
      <c r="K69" s="24">
        <f>L69+T69+U69+AF69</f>
        <v>0</v>
      </c>
      <c r="L69" s="19">
        <f>SUM(M69:S69)</f>
        <v>0</v>
      </c>
      <c r="M69" s="18"/>
      <c r="N69" s="55">
        <v>0</v>
      </c>
      <c r="O69" s="55"/>
      <c r="P69" s="18"/>
      <c r="Q69" s="18"/>
      <c r="R69" s="18"/>
      <c r="S69" s="18"/>
      <c r="T69" s="18"/>
      <c r="U69" s="19">
        <f>SUM(V69:AE69)</f>
        <v>0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3" x14ac:dyDescent="0.2">
      <c r="A70" s="4"/>
      <c r="B70" s="31"/>
      <c r="C70" s="42" t="s">
        <v>124</v>
      </c>
      <c r="D70" s="134" t="s">
        <v>125</v>
      </c>
      <c r="E70" s="32">
        <v>72698.67</v>
      </c>
      <c r="F70" s="20">
        <v>30997.67</v>
      </c>
      <c r="G70" s="11">
        <f t="shared" si="3"/>
        <v>0.42638565464815242</v>
      </c>
      <c r="H70" s="20">
        <v>72000</v>
      </c>
      <c r="I70" s="20">
        <v>23000</v>
      </c>
      <c r="J70" s="11">
        <f t="shared" si="4"/>
        <v>0.31637442610710759</v>
      </c>
      <c r="K70" s="24">
        <f t="shared" ref="K70:K71" si="31">L70+T70+U70+AF70</f>
        <v>20000</v>
      </c>
      <c r="L70" s="19">
        <f>SUM(M70:S70)</f>
        <v>20000</v>
      </c>
      <c r="M70" s="18"/>
      <c r="N70" s="101">
        <v>20000</v>
      </c>
      <c r="O70" s="55"/>
      <c r="P70" s="18"/>
      <c r="Q70" s="18"/>
      <c r="R70" s="18"/>
      <c r="S70" s="18"/>
      <c r="T70" s="18"/>
      <c r="U70" s="19">
        <f>SUM(V70:AE70)</f>
        <v>0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3" ht="22.5" x14ac:dyDescent="0.2">
      <c r="A71" s="4"/>
      <c r="B71" s="31"/>
      <c r="C71" s="33" t="s">
        <v>142</v>
      </c>
      <c r="D71" s="34" t="s">
        <v>143</v>
      </c>
      <c r="E71" s="32">
        <v>0</v>
      </c>
      <c r="F71" s="20">
        <v>0</v>
      </c>
      <c r="G71" s="11">
        <v>0</v>
      </c>
      <c r="H71" s="20">
        <v>0</v>
      </c>
      <c r="I71" s="20">
        <v>10000</v>
      </c>
      <c r="J71" s="11">
        <v>0</v>
      </c>
      <c r="K71" s="24">
        <f t="shared" si="31"/>
        <v>100000</v>
      </c>
      <c r="L71" s="19">
        <f>SUM(M71:S71)</f>
        <v>100000</v>
      </c>
      <c r="M71" s="18"/>
      <c r="N71" s="101">
        <v>100000</v>
      </c>
      <c r="O71" s="55"/>
      <c r="P71" s="60"/>
      <c r="Q71" s="60"/>
      <c r="R71" s="60"/>
      <c r="S71" s="61"/>
      <c r="T71" s="60"/>
      <c r="U71" s="52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</row>
    <row r="72" spans="1:33" ht="27.75" customHeight="1" x14ac:dyDescent="0.2">
      <c r="A72" s="155" t="s">
        <v>24</v>
      </c>
      <c r="B72" s="156"/>
      <c r="C72" s="157"/>
      <c r="D72" s="158" t="s">
        <v>25</v>
      </c>
      <c r="E72" s="159">
        <f>E73+E80+E87+E112+E117+E123+E142</f>
        <v>7299506.4200000009</v>
      </c>
      <c r="F72" s="159">
        <f>F73+F80+F87+F112+F117+F123+F142</f>
        <v>4865745.5</v>
      </c>
      <c r="G72" s="87">
        <f t="shared" si="3"/>
        <v>0.66658554976652784</v>
      </c>
      <c r="H72" s="159">
        <f>H73+H80+H87+H112+H117+H123+H142</f>
        <v>7041210.8741666675</v>
      </c>
      <c r="I72" s="159">
        <f>I73+I80+I87+I112+I117+I123+I142</f>
        <v>7118955.2600000007</v>
      </c>
      <c r="J72" s="87">
        <f t="shared" si="4"/>
        <v>0.97526529197846779</v>
      </c>
      <c r="K72" s="108" t="e">
        <f>K73+K80+K87+K112+K117+K123+K142</f>
        <v>#REF!</v>
      </c>
      <c r="L72" s="27" t="e">
        <f>L73+L80+L87+L112+L117+L123+L142</f>
        <v>#REF!</v>
      </c>
      <c r="M72" s="27" t="e">
        <f>M73+M80+M87+M112+M117+M123+M142</f>
        <v>#REF!</v>
      </c>
      <c r="N72" s="27" t="e">
        <f>N73+N80+N87+N112+N117+N123+N142</f>
        <v>#REF!</v>
      </c>
      <c r="O72" s="27"/>
      <c r="P72" s="12" t="e">
        <f t="shared" ref="P72:AF72" si="32">P73+P80+P87+P112+P117+P123+P142</f>
        <v>#REF!</v>
      </c>
      <c r="Q72" s="12" t="e">
        <f t="shared" si="32"/>
        <v>#REF!</v>
      </c>
      <c r="R72" s="12" t="e">
        <f t="shared" si="32"/>
        <v>#REF!</v>
      </c>
      <c r="S72" s="16" t="e">
        <f t="shared" si="32"/>
        <v>#REF!</v>
      </c>
      <c r="T72" s="12" t="e">
        <f t="shared" si="32"/>
        <v>#REF!</v>
      </c>
      <c r="U72" s="12" t="e">
        <f t="shared" si="32"/>
        <v>#REF!</v>
      </c>
      <c r="V72" s="12" t="e">
        <f t="shared" si="32"/>
        <v>#REF!</v>
      </c>
      <c r="W72" s="12" t="e">
        <f t="shared" si="32"/>
        <v>#REF!</v>
      </c>
      <c r="X72" s="12" t="e">
        <f t="shared" si="32"/>
        <v>#REF!</v>
      </c>
      <c r="Y72" s="12" t="e">
        <f t="shared" si="32"/>
        <v>#REF!</v>
      </c>
      <c r="Z72" s="12" t="e">
        <f t="shared" si="32"/>
        <v>#REF!</v>
      </c>
      <c r="AA72" s="12" t="e">
        <f t="shared" si="32"/>
        <v>#REF!</v>
      </c>
      <c r="AB72" s="12" t="e">
        <f t="shared" si="32"/>
        <v>#REF!</v>
      </c>
      <c r="AC72" s="12" t="e">
        <f t="shared" si="32"/>
        <v>#REF!</v>
      </c>
      <c r="AD72" s="12" t="e">
        <f t="shared" si="32"/>
        <v>#REF!</v>
      </c>
      <c r="AE72" s="12" t="e">
        <f t="shared" si="32"/>
        <v>#REF!</v>
      </c>
      <c r="AF72" s="12" t="e">
        <f t="shared" si="32"/>
        <v>#REF!</v>
      </c>
    </row>
    <row r="73" spans="1:33" ht="15.75" x14ac:dyDescent="0.2">
      <c r="A73" s="3"/>
      <c r="B73" s="165" t="s">
        <v>26</v>
      </c>
      <c r="C73" s="166"/>
      <c r="D73" s="167" t="s">
        <v>27</v>
      </c>
      <c r="E73" s="168">
        <f>E74+E75+E76+E77+E78+E79</f>
        <v>169436.00000000003</v>
      </c>
      <c r="F73" s="168">
        <f>F74+F75+F76+F77+F78+F79</f>
        <v>126653</v>
      </c>
      <c r="G73" s="170">
        <f t="shared" si="3"/>
        <v>0.74749758020727575</v>
      </c>
      <c r="H73" s="168">
        <f>H74+H75+H76+H77+H78+H79</f>
        <v>169436.00000000003</v>
      </c>
      <c r="I73" s="168">
        <f>I74+I75+I76+I77+I78+I79</f>
        <v>165472</v>
      </c>
      <c r="J73" s="170">
        <f t="shared" si="4"/>
        <v>0.97660473571141893</v>
      </c>
      <c r="K73" s="109" t="e">
        <f>K74+K75+K76+K77+K78+K79+#REF!</f>
        <v>#REF!</v>
      </c>
      <c r="L73" s="85" t="e">
        <f>L74+L75+L76+L77+L78+L79+#REF!</f>
        <v>#REF!</v>
      </c>
      <c r="M73" s="85" t="e">
        <f>M74+M75+M76+M77+M78+M79+#REF!</f>
        <v>#REF!</v>
      </c>
      <c r="N73" s="85" t="e">
        <f>N74+N75+N76+N77+N78+N79+#REF!</f>
        <v>#REF!</v>
      </c>
      <c r="O73" s="85"/>
      <c r="P73" s="85" t="e">
        <f>P74+P75+P76+P77+P78+P79+#REF!</f>
        <v>#REF!</v>
      </c>
      <c r="Q73" s="85" t="e">
        <f>Q74+Q75+Q76+Q77+Q78+Q79+#REF!</f>
        <v>#REF!</v>
      </c>
      <c r="R73" s="85" t="e">
        <f>R74+R75+R76+R77+R78+R79+#REF!</f>
        <v>#REF!</v>
      </c>
      <c r="S73" s="86" t="e">
        <f>S74+S75+S76+S77+S78+S79+#REF!</f>
        <v>#REF!</v>
      </c>
      <c r="T73" s="85" t="e">
        <f>T74+T75+T76+T77+T78+T79+#REF!</f>
        <v>#REF!</v>
      </c>
      <c r="U73" s="85" t="e">
        <f>U74+U75+U76+U77+U78+U79+#REF!</f>
        <v>#REF!</v>
      </c>
      <c r="V73" s="85" t="e">
        <f>V74+V75+V76+V77+V78+V79+#REF!</f>
        <v>#REF!</v>
      </c>
      <c r="W73" s="85" t="e">
        <f>W74+W75+W76+W77+W78+W79+#REF!</f>
        <v>#REF!</v>
      </c>
      <c r="X73" s="85" t="e">
        <f>X74+X75+X76+X77+X78+X79+#REF!</f>
        <v>#REF!</v>
      </c>
      <c r="Y73" s="85" t="e">
        <f>Y74+Y75+Y76+Y77+Y78+Y79+#REF!</f>
        <v>#REF!</v>
      </c>
      <c r="Z73" s="85" t="e">
        <f>Z74+Z75+Z76+Z77+Z78+Z79+#REF!</f>
        <v>#REF!</v>
      </c>
      <c r="AA73" s="85" t="e">
        <f>AA74+AA75+AA76+AA77+AA78+AA79+#REF!</f>
        <v>#REF!</v>
      </c>
      <c r="AB73" s="85" t="e">
        <f>AB74+AB75+AB76+AB77+AB78+AB79+#REF!</f>
        <v>#REF!</v>
      </c>
      <c r="AC73" s="85" t="e">
        <f>AC74+AC75+AC76+AC77+AC78+AC79+#REF!</f>
        <v>#REF!</v>
      </c>
      <c r="AD73" s="85" t="e">
        <f>AD74+AD75+AD76+AD77+AD78+AD79+#REF!</f>
        <v>#REF!</v>
      </c>
      <c r="AE73" s="85" t="e">
        <f>AE74+AE75+AE76+AE77+AE78+AE79+#REF!</f>
        <v>#REF!</v>
      </c>
      <c r="AF73" s="85" t="e">
        <f>AF74+AF75+AF76+AF77+AF78+AF79+#REF!</f>
        <v>#REF!</v>
      </c>
    </row>
    <row r="74" spans="1:33" ht="22.5" hidden="1" x14ac:dyDescent="0.2">
      <c r="A74" s="4"/>
      <c r="B74" s="31"/>
      <c r="C74" s="42" t="s">
        <v>171</v>
      </c>
      <c r="D74" s="134" t="s">
        <v>172</v>
      </c>
      <c r="E74" s="32">
        <v>0</v>
      </c>
      <c r="F74" s="20">
        <v>0</v>
      </c>
      <c r="G74" s="11">
        <v>0</v>
      </c>
      <c r="H74" s="20">
        <v>0</v>
      </c>
      <c r="I74" s="20">
        <f>K74</f>
        <v>0</v>
      </c>
      <c r="J74" s="11">
        <v>0</v>
      </c>
      <c r="K74" s="24">
        <f>L74+T74+U74+AF74</f>
        <v>0</v>
      </c>
      <c r="L74" s="19">
        <f>SUM(M74:S74)</f>
        <v>0</v>
      </c>
      <c r="M74" s="19"/>
      <c r="N74" s="19"/>
      <c r="O74" s="19"/>
      <c r="P74" s="19"/>
      <c r="Q74" s="19">
        <v>0</v>
      </c>
      <c r="R74" s="19"/>
      <c r="S74" s="19"/>
      <c r="T74" s="19"/>
      <c r="U74" s="19">
        <f>SUM(V74:AE74)</f>
        <v>0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3" x14ac:dyDescent="0.2">
      <c r="A75" s="4"/>
      <c r="B75" s="31"/>
      <c r="C75" s="42" t="s">
        <v>116</v>
      </c>
      <c r="D75" s="134" t="s">
        <v>117</v>
      </c>
      <c r="E75" s="32">
        <v>141901.97</v>
      </c>
      <c r="F75" s="20">
        <v>105888.66</v>
      </c>
      <c r="G75" s="11">
        <f t="shared" ref="G75:G140" si="33">F75/E75</f>
        <v>0.74620993633844546</v>
      </c>
      <c r="H75" s="32">
        <v>141901.97</v>
      </c>
      <c r="I75" s="20">
        <v>138412.38</v>
      </c>
      <c r="J75" s="11">
        <f t="shared" ref="J75:J140" si="34">I75/E75</f>
        <v>0.97540844570374885</v>
      </c>
      <c r="K75" s="24">
        <f t="shared" ref="K75:K79" si="35">L75+T75+U75+AF75</f>
        <v>134700.97</v>
      </c>
      <c r="L75" s="19">
        <f t="shared" ref="L75:L79" si="36">SUM(M75:S75)</f>
        <v>134700.97</v>
      </c>
      <c r="M75" s="19"/>
      <c r="N75" s="19"/>
      <c r="O75" s="19"/>
      <c r="P75" s="19"/>
      <c r="Q75" s="55">
        <v>134700.97</v>
      </c>
      <c r="R75" s="19"/>
      <c r="S75" s="19"/>
      <c r="T75" s="19"/>
      <c r="U75" s="19">
        <f t="shared" ref="U75:U79" si="37">SUM(V75:AE75)</f>
        <v>0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3" hidden="1" x14ac:dyDescent="0.2">
      <c r="A76" s="4"/>
      <c r="B76" s="31"/>
      <c r="C76" s="42" t="s">
        <v>173</v>
      </c>
      <c r="D76" s="134" t="s">
        <v>174</v>
      </c>
      <c r="E76" s="32"/>
      <c r="F76" s="20"/>
      <c r="G76" s="11">
        <v>0</v>
      </c>
      <c r="H76" s="32"/>
      <c r="I76" s="20"/>
      <c r="J76" s="11">
        <v>0</v>
      </c>
      <c r="K76" s="24">
        <f t="shared" si="35"/>
        <v>0</v>
      </c>
      <c r="L76" s="19">
        <f t="shared" si="36"/>
        <v>0</v>
      </c>
      <c r="M76" s="19"/>
      <c r="N76" s="19"/>
      <c r="O76" s="19"/>
      <c r="P76" s="19"/>
      <c r="Q76" s="19">
        <v>0</v>
      </c>
      <c r="R76" s="19"/>
      <c r="S76" s="19"/>
      <c r="T76" s="19"/>
      <c r="U76" s="19">
        <f t="shared" si="37"/>
        <v>0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3" x14ac:dyDescent="0.2">
      <c r="A77" s="4"/>
      <c r="B77" s="31"/>
      <c r="C77" s="42" t="s">
        <v>118</v>
      </c>
      <c r="D77" s="134" t="s">
        <v>119</v>
      </c>
      <c r="E77" s="32">
        <v>23033.86</v>
      </c>
      <c r="F77" s="20">
        <v>18170.05</v>
      </c>
      <c r="G77" s="11">
        <f t="shared" si="33"/>
        <v>0.7888408629730318</v>
      </c>
      <c r="H77" s="32">
        <v>23033.86</v>
      </c>
      <c r="I77" s="20">
        <v>23668.52</v>
      </c>
      <c r="J77" s="11">
        <f t="shared" si="34"/>
        <v>1.0275533497208023</v>
      </c>
      <c r="K77" s="24">
        <f t="shared" si="35"/>
        <v>23033.86</v>
      </c>
      <c r="L77" s="19">
        <f t="shared" si="36"/>
        <v>23033.86</v>
      </c>
      <c r="M77" s="19"/>
      <c r="N77" s="19"/>
      <c r="O77" s="19"/>
      <c r="P77" s="19"/>
      <c r="Q77" s="55">
        <v>23033.86</v>
      </c>
      <c r="R77" s="19"/>
      <c r="S77" s="19"/>
      <c r="T77" s="19"/>
      <c r="U77" s="19">
        <f t="shared" si="37"/>
        <v>0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3" x14ac:dyDescent="0.2">
      <c r="A78" s="4"/>
      <c r="B78" s="31"/>
      <c r="C78" s="42" t="s">
        <v>120</v>
      </c>
      <c r="D78" s="134" t="s">
        <v>121</v>
      </c>
      <c r="E78" s="32">
        <v>3300.17</v>
      </c>
      <c r="F78" s="20">
        <v>2594.29</v>
      </c>
      <c r="G78" s="11">
        <f t="shared" si="33"/>
        <v>0.78610798837635631</v>
      </c>
      <c r="H78" s="32">
        <v>3300.17</v>
      </c>
      <c r="I78" s="20">
        <v>3391.1</v>
      </c>
      <c r="J78" s="11">
        <f t="shared" si="34"/>
        <v>1.0275531260510822</v>
      </c>
      <c r="K78" s="24">
        <f t="shared" si="35"/>
        <v>3300.17</v>
      </c>
      <c r="L78" s="19">
        <f t="shared" si="36"/>
        <v>3300.17</v>
      </c>
      <c r="M78" s="19"/>
      <c r="N78" s="19"/>
      <c r="O78" s="19"/>
      <c r="P78" s="19"/>
      <c r="Q78" s="55">
        <v>3300.17</v>
      </c>
      <c r="R78" s="19"/>
      <c r="S78" s="19"/>
      <c r="T78" s="19"/>
      <c r="U78" s="19">
        <f t="shared" si="37"/>
        <v>0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3" x14ac:dyDescent="0.2">
      <c r="A79" s="4"/>
      <c r="B79" s="31"/>
      <c r="C79" s="42" t="s">
        <v>122</v>
      </c>
      <c r="D79" s="134" t="s">
        <v>123</v>
      </c>
      <c r="E79" s="32">
        <v>1200</v>
      </c>
      <c r="F79" s="20">
        <v>0</v>
      </c>
      <c r="G79" s="11">
        <f t="shared" si="33"/>
        <v>0</v>
      </c>
      <c r="H79" s="32">
        <v>1200</v>
      </c>
      <c r="I79" s="20">
        <v>0</v>
      </c>
      <c r="J79" s="11">
        <f t="shared" si="34"/>
        <v>0</v>
      </c>
      <c r="K79" s="24">
        <f t="shared" si="35"/>
        <v>1200</v>
      </c>
      <c r="L79" s="19">
        <f t="shared" si="36"/>
        <v>1200</v>
      </c>
      <c r="M79" s="19"/>
      <c r="N79" s="19"/>
      <c r="O79" s="19"/>
      <c r="P79" s="19"/>
      <c r="Q79" s="55">
        <v>1200</v>
      </c>
      <c r="R79" s="19"/>
      <c r="S79" s="19"/>
      <c r="T79" s="19"/>
      <c r="U79" s="19">
        <f t="shared" si="37"/>
        <v>0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3" ht="22.5" x14ac:dyDescent="0.2">
      <c r="A80" s="3"/>
      <c r="B80" s="165" t="s">
        <v>175</v>
      </c>
      <c r="C80" s="166"/>
      <c r="D80" s="167" t="s">
        <v>176</v>
      </c>
      <c r="E80" s="168">
        <f>E81+E82+E83+E84+E85+E86</f>
        <v>368943.2</v>
      </c>
      <c r="F80" s="168">
        <f>F81+F82+F83+F84+F85+F86</f>
        <v>228483.01</v>
      </c>
      <c r="G80" s="170">
        <f t="shared" si="33"/>
        <v>0.61929047614917421</v>
      </c>
      <c r="H80" s="168">
        <f t="shared" ref="H80:AF80" si="38">H81+H82+H83+H84+H85+H86</f>
        <v>362584.15</v>
      </c>
      <c r="I80" s="168">
        <f t="shared" si="38"/>
        <v>382243.2</v>
      </c>
      <c r="J80" s="170">
        <f t="shared" si="34"/>
        <v>1.0360489094256242</v>
      </c>
      <c r="K80" s="109">
        <f t="shared" si="38"/>
        <v>368943.2</v>
      </c>
      <c r="L80" s="85">
        <f t="shared" si="38"/>
        <v>368943.2</v>
      </c>
      <c r="M80" s="85">
        <f t="shared" si="38"/>
        <v>0</v>
      </c>
      <c r="N80" s="85">
        <f t="shared" si="38"/>
        <v>0</v>
      </c>
      <c r="O80" s="85"/>
      <c r="P80" s="85">
        <f t="shared" si="38"/>
        <v>368943.2</v>
      </c>
      <c r="Q80" s="85">
        <f t="shared" si="38"/>
        <v>0</v>
      </c>
      <c r="R80" s="85">
        <f t="shared" si="38"/>
        <v>0</v>
      </c>
      <c r="S80" s="86">
        <f>S81+S82+S83+S84+S85+S86</f>
        <v>0</v>
      </c>
      <c r="T80" s="85">
        <f t="shared" si="38"/>
        <v>0</v>
      </c>
      <c r="U80" s="85">
        <f t="shared" si="38"/>
        <v>0</v>
      </c>
      <c r="V80" s="85">
        <f t="shared" si="38"/>
        <v>0</v>
      </c>
      <c r="W80" s="85">
        <f t="shared" si="38"/>
        <v>0</v>
      </c>
      <c r="X80" s="85">
        <f t="shared" si="38"/>
        <v>0</v>
      </c>
      <c r="Y80" s="85">
        <f t="shared" si="38"/>
        <v>0</v>
      </c>
      <c r="Z80" s="85">
        <f t="shared" si="38"/>
        <v>0</v>
      </c>
      <c r="AA80" s="85">
        <f t="shared" si="38"/>
        <v>0</v>
      </c>
      <c r="AB80" s="85">
        <f t="shared" si="38"/>
        <v>0</v>
      </c>
      <c r="AC80" s="85">
        <f t="shared" si="38"/>
        <v>0</v>
      </c>
      <c r="AD80" s="85">
        <f t="shared" si="38"/>
        <v>0</v>
      </c>
      <c r="AE80" s="85">
        <f t="shared" si="38"/>
        <v>0</v>
      </c>
      <c r="AF80" s="85">
        <f t="shared" si="38"/>
        <v>0</v>
      </c>
      <c r="AG80" s="90"/>
    </row>
    <row r="81" spans="1:32" ht="22.5" x14ac:dyDescent="0.2">
      <c r="A81" s="4"/>
      <c r="B81" s="31"/>
      <c r="C81" s="42" t="s">
        <v>177</v>
      </c>
      <c r="D81" s="134" t="s">
        <v>178</v>
      </c>
      <c r="E81" s="32">
        <v>328943.2</v>
      </c>
      <c r="F81" s="20">
        <v>221755</v>
      </c>
      <c r="G81" s="11">
        <f t="shared" si="33"/>
        <v>0.67414374274950806</v>
      </c>
      <c r="H81" s="20">
        <v>328943.2</v>
      </c>
      <c r="I81" s="20">
        <v>328943.2</v>
      </c>
      <c r="J81" s="11">
        <f t="shared" si="34"/>
        <v>1</v>
      </c>
      <c r="K81" s="24">
        <f>L81+T81+U81+AF81</f>
        <v>328943.2</v>
      </c>
      <c r="L81" s="19">
        <f t="shared" ref="L81:L86" si="39">SUM(M81:S81)</f>
        <v>328943.2</v>
      </c>
      <c r="M81" s="19"/>
      <c r="N81" s="19"/>
      <c r="O81" s="19"/>
      <c r="P81" s="55">
        <f>325843.2+3100</f>
        <v>328943.2</v>
      </c>
      <c r="Q81" s="19"/>
      <c r="R81" s="19"/>
      <c r="S81" s="19"/>
      <c r="T81" s="19"/>
      <c r="U81" s="19">
        <f t="shared" ref="U81:U86" si="40">SUM(V81:AE81)</f>
        <v>0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x14ac:dyDescent="0.2">
      <c r="A82" s="4"/>
      <c r="B82" s="31"/>
      <c r="C82" s="42" t="s">
        <v>179</v>
      </c>
      <c r="D82" s="134" t="s">
        <v>180</v>
      </c>
      <c r="E82" s="32">
        <v>4000</v>
      </c>
      <c r="F82" s="20">
        <v>0</v>
      </c>
      <c r="G82" s="11">
        <v>0</v>
      </c>
      <c r="H82" s="20">
        <v>0</v>
      </c>
      <c r="I82" s="20">
        <v>0</v>
      </c>
      <c r="J82" s="11">
        <v>0</v>
      </c>
      <c r="K82" s="24">
        <f t="shared" ref="K82:K86" si="41">L82+T82+U82+AF82</f>
        <v>4000</v>
      </c>
      <c r="L82" s="19">
        <f t="shared" si="39"/>
        <v>4000</v>
      </c>
      <c r="M82" s="19"/>
      <c r="N82" s="19"/>
      <c r="O82" s="19"/>
      <c r="P82" s="55">
        <v>4000</v>
      </c>
      <c r="Q82" s="19"/>
      <c r="R82" s="19"/>
      <c r="S82" s="19"/>
      <c r="T82" s="19"/>
      <c r="U82" s="19">
        <f t="shared" si="40"/>
        <v>0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x14ac:dyDescent="0.2">
      <c r="A83" s="4"/>
      <c r="B83" s="31"/>
      <c r="C83" s="42" t="s">
        <v>122</v>
      </c>
      <c r="D83" s="134" t="s">
        <v>123</v>
      </c>
      <c r="E83" s="32">
        <v>20700</v>
      </c>
      <c r="F83" s="20">
        <v>1627.82</v>
      </c>
      <c r="G83" s="11">
        <f t="shared" si="33"/>
        <v>7.8638647342995166E-2</v>
      </c>
      <c r="H83" s="20">
        <v>20700</v>
      </c>
      <c r="I83" s="20">
        <v>20000</v>
      </c>
      <c r="J83" s="11">
        <f t="shared" si="34"/>
        <v>0.96618357487922701</v>
      </c>
      <c r="K83" s="24">
        <f t="shared" si="41"/>
        <v>22000</v>
      </c>
      <c r="L83" s="19">
        <f t="shared" si="39"/>
        <v>22000</v>
      </c>
      <c r="M83" s="19"/>
      <c r="N83" s="19"/>
      <c r="O83" s="19"/>
      <c r="P83" s="55">
        <f>22000</f>
        <v>22000</v>
      </c>
      <c r="Q83" s="19"/>
      <c r="R83" s="19"/>
      <c r="S83" s="19"/>
      <c r="T83" s="19"/>
      <c r="U83" s="19">
        <f t="shared" si="40"/>
        <v>0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x14ac:dyDescent="0.2">
      <c r="A84" s="4"/>
      <c r="B84" s="31"/>
      <c r="C84" s="42" t="s">
        <v>124</v>
      </c>
      <c r="D84" s="134" t="s">
        <v>125</v>
      </c>
      <c r="E84" s="32">
        <v>10000</v>
      </c>
      <c r="F84" s="20">
        <v>4159.24</v>
      </c>
      <c r="G84" s="11">
        <f t="shared" si="33"/>
        <v>0.41592399999999996</v>
      </c>
      <c r="H84" s="20">
        <v>10000</v>
      </c>
      <c r="I84" s="20">
        <v>30300</v>
      </c>
      <c r="J84" s="11">
        <f t="shared" si="34"/>
        <v>3.03</v>
      </c>
      <c r="K84" s="24">
        <f t="shared" si="41"/>
        <v>10000</v>
      </c>
      <c r="L84" s="19">
        <f t="shared" si="39"/>
        <v>10000</v>
      </c>
      <c r="M84" s="19"/>
      <c r="N84" s="19"/>
      <c r="O84" s="19"/>
      <c r="P84" s="55">
        <v>10000</v>
      </c>
      <c r="Q84" s="19"/>
      <c r="R84" s="19"/>
      <c r="S84" s="19"/>
      <c r="T84" s="19"/>
      <c r="U84" s="19">
        <f t="shared" si="40"/>
        <v>0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ht="22.5" x14ac:dyDescent="0.2">
      <c r="A85" s="4"/>
      <c r="B85" s="31"/>
      <c r="C85" s="42" t="s">
        <v>147</v>
      </c>
      <c r="D85" s="134" t="s">
        <v>148</v>
      </c>
      <c r="E85" s="32">
        <v>1300</v>
      </c>
      <c r="F85" s="20">
        <v>940.95</v>
      </c>
      <c r="G85" s="11">
        <f t="shared" si="33"/>
        <v>0.72380769230769237</v>
      </c>
      <c r="H85" s="20">
        <v>940.95</v>
      </c>
      <c r="I85" s="20">
        <v>0</v>
      </c>
      <c r="J85" s="11">
        <f t="shared" si="34"/>
        <v>0</v>
      </c>
      <c r="K85" s="24">
        <f t="shared" si="41"/>
        <v>0</v>
      </c>
      <c r="L85" s="19">
        <f t="shared" si="39"/>
        <v>0</v>
      </c>
      <c r="M85" s="19"/>
      <c r="N85" s="19"/>
      <c r="O85" s="19"/>
      <c r="P85" s="19">
        <f>I85</f>
        <v>0</v>
      </c>
      <c r="Q85" s="19"/>
      <c r="R85" s="19"/>
      <c r="S85" s="19"/>
      <c r="T85" s="19"/>
      <c r="U85" s="19">
        <f t="shared" si="40"/>
        <v>0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x14ac:dyDescent="0.2">
      <c r="A86" s="4"/>
      <c r="B86" s="31"/>
      <c r="C86" s="42" t="s">
        <v>181</v>
      </c>
      <c r="D86" s="134" t="s">
        <v>182</v>
      </c>
      <c r="E86" s="32">
        <v>4000</v>
      </c>
      <c r="F86" s="20">
        <v>0</v>
      </c>
      <c r="G86" s="11">
        <f t="shared" si="33"/>
        <v>0</v>
      </c>
      <c r="H86" s="20">
        <v>2000</v>
      </c>
      <c r="I86" s="20">
        <v>3000</v>
      </c>
      <c r="J86" s="11">
        <f t="shared" si="34"/>
        <v>0.75</v>
      </c>
      <c r="K86" s="24">
        <f t="shared" si="41"/>
        <v>4000</v>
      </c>
      <c r="L86" s="19">
        <f t="shared" si="39"/>
        <v>4000</v>
      </c>
      <c r="M86" s="19"/>
      <c r="N86" s="19"/>
      <c r="O86" s="19"/>
      <c r="P86" s="55">
        <v>4000</v>
      </c>
      <c r="Q86" s="19"/>
      <c r="R86" s="19"/>
      <c r="S86" s="19"/>
      <c r="T86" s="19"/>
      <c r="U86" s="19">
        <f t="shared" si="40"/>
        <v>0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ht="22.5" x14ac:dyDescent="0.2">
      <c r="A87" s="3"/>
      <c r="B87" s="165" t="s">
        <v>28</v>
      </c>
      <c r="C87" s="166"/>
      <c r="D87" s="167" t="s">
        <v>29</v>
      </c>
      <c r="E87" s="168">
        <f>E88+E89+E90+E91+E92+E93+E94+E95+E97+E98+E99+E100+E101+E102+E103+E104+E105+E106+E107+E109+E110+E111+E108+E96</f>
        <v>5046517.4400000004</v>
      </c>
      <c r="F87" s="168">
        <f>F88+F89+F90+F91+F92+F93+F94+F95+F97+F98+F99+F100+F101+F102+F103+F104+F105+F106+F107+F109+F110+F111+F108+F96</f>
        <v>3295940.4</v>
      </c>
      <c r="G87" s="170">
        <f t="shared" si="33"/>
        <v>0.65311186163264301</v>
      </c>
      <c r="H87" s="168">
        <f>H88+H89+H90+H91+H92+H93+H94+H95+H97+H98+H99+H100+H101+H102+H103+H104+H105+H106+H107+H109+H110+H111+H96</f>
        <v>4929138.7166666677</v>
      </c>
      <c r="I87" s="168">
        <f>I88+I89+I90+I91+I92+I93+I94+I95+I97+I98+I99+I100+I101+I102+I103+I104+I105+I106+I107+I109+I110+I111+I96</f>
        <v>4935524.0600000005</v>
      </c>
      <c r="J87" s="170">
        <f t="shared" si="34"/>
        <v>0.97800594542283004</v>
      </c>
      <c r="K87" s="126" t="e">
        <f>K88+K89+K90+K91+K92+K93+K94+K95+K97+K98+K99+K100+K101+K102+K103+K104+K105+K106+K107+K109+K110+K111+#REF!</f>
        <v>#REF!</v>
      </c>
      <c r="L87" s="83" t="e">
        <f>L88+L89+L90+L91+L92+L93+L94+L95+L97+L98+L99+L100+L101+L102+L103+L104+L105+L106+L107+L109+L110+L111+#REF!</f>
        <v>#REF!</v>
      </c>
      <c r="M87" s="83" t="e">
        <f>M88+M89+M90+M91+M92+M93+M94+M95+M97+M98+M99+M100+M101+M102+M103+M104+M105+M106+M107+M109+M110+M111+#REF!</f>
        <v>#REF!</v>
      </c>
      <c r="N87" s="83" t="e">
        <f>N88+N89+N90+N91+N92+N93+N94+N95+N97+N98+N99+N100+N101+N102+N103+N104+N105+N106+N107+N109+N110+N111+#REF!</f>
        <v>#REF!</v>
      </c>
      <c r="O87" s="83"/>
      <c r="P87" s="83" t="e">
        <f>P88+P89+P90+P91+P92+P93+P94+P95+P97+P98+P99+P100+P101+P102+P103+P104+P105+P106+P107+P109+P110+P111+#REF!</f>
        <v>#REF!</v>
      </c>
      <c r="Q87" s="83" t="e">
        <f>Q88+Q89+Q90+Q91+Q92+Q93+Q94+Q95+Q97+Q98+Q99+Q100+Q101+Q102+Q103+Q104+Q105+Q106+Q107+Q109+Q110+Q111+#REF!</f>
        <v>#REF!</v>
      </c>
      <c r="R87" s="83" t="e">
        <f>R88+R89+R90+R91+R92+R93+R94+R95+R97+R98+R99+R100+R101+R102+R103+R104+R105+R106+R107+R109+R110+R111+#REF!</f>
        <v>#REF!</v>
      </c>
      <c r="S87" s="84" t="e">
        <f>S88+S89+S90+S91+S92+S93+S94+S95+S97+S98+S99+S100+S101+S102+S103+S104+S105+S106+S107+S109+S110+S111+#REF!</f>
        <v>#REF!</v>
      </c>
      <c r="T87" s="83" t="e">
        <f>T88+T89+T90+T91+T92+T93+T94+T95+T97+T98+T99+T100+T101+T102+T103+T104+T105+T106+T107+T109+T110+T111+#REF!</f>
        <v>#REF!</v>
      </c>
      <c r="U87" s="83" t="e">
        <f>U88+U89+U90+U91+U92+U93+U94+U95+U97+U98+U99+U100+U101+U102+U103+U104+U105+U106+U107+U109+U110+U111+#REF!</f>
        <v>#REF!</v>
      </c>
      <c r="V87" s="83" t="e">
        <f>V88+V89+V90+V91+V92+V93+V94+V95+V97+V98+V99+V100+V101+V102+V103+V104+V105+V106+V107+V109+V110+V111+#REF!</f>
        <v>#REF!</v>
      </c>
      <c r="W87" s="83" t="e">
        <f>W88+W89+W90+W91+W92+W93+W94+W95+W97+W98+W99+W100+W101+W102+W103+W104+W105+W106+W107+W109+W110+W111+#REF!</f>
        <v>#REF!</v>
      </c>
      <c r="X87" s="83" t="e">
        <f>X88+X89+X90+X91+X92+X93+X94+X95+X97+X98+X99+X100+X101+X102+X103+X104+X105+X106+X107+X109+X110+X111+#REF!</f>
        <v>#REF!</v>
      </c>
      <c r="Y87" s="83" t="e">
        <f>Y88+Y89+Y90+Y91+Y92+Y93+Y94+Y95+Y97+Y98+Y99+Y100+Y101+Y102+Y103+Y104+Y105+Y106+Y107+Y109+Y110+Y111+#REF!</f>
        <v>#REF!</v>
      </c>
      <c r="Z87" s="83" t="e">
        <f>Z88+Z89+Z90+Z91+Z92+Z93+Z94+Z95+Z97+Z98+Z99+Z100+Z101+Z102+Z103+Z104+Z105+Z106+Z107+Z109+Z110+Z111+#REF!</f>
        <v>#REF!</v>
      </c>
      <c r="AA87" s="83" t="e">
        <f>AA88+AA89+AA90+AA91+AA92+AA93+AA94+AA95+AA97+AA98+AA99+AA100+AA101+AA102+AA103+AA104+AA105+AA106+AA107+AA109+AA110+AA111+#REF!</f>
        <v>#REF!</v>
      </c>
      <c r="AB87" s="83" t="e">
        <f>AB88+AB89+AB90+AB91+AB92+AB93+AB94+AB95+AB97+AB98+AB99+AB100+AB101+AB102+AB103+AB104+AB105+AB106+AB107+AB109+AB110+AB111+#REF!</f>
        <v>#REF!</v>
      </c>
      <c r="AC87" s="83" t="e">
        <f>AC88+AC89+AC90+AC91+AC92+AC93+AC94+AC95+AC97+AC98+AC99+AC100+AC101+AC102+AC103+AC104+AC105+AC106+AC107+AC109+AC110+AC111+#REF!</f>
        <v>#REF!</v>
      </c>
      <c r="AD87" s="83" t="e">
        <f>AD88+AD89+AD90+AD91+AD92+AD93+AD94+AD95+AD97+AD98+AD99+AD100+AD101+AD102+AD103+AD104+AD105+AD106+AD107+AD109+AD110+AD111+#REF!</f>
        <v>#REF!</v>
      </c>
      <c r="AE87" s="83" t="e">
        <f>AE88+AE89+AE90+AE91+AE92+AE93+AE94+AE95+AE97+AE98+AE99+AE100+AE101+AE102+AE103+AE104+AE105+AE106+AE107+AE109+AE110+AE111+#REF!</f>
        <v>#REF!</v>
      </c>
      <c r="AF87" s="83" t="e">
        <f>AF88+AF89+AF90+AF91+AF92+AF93+AF94+AF95+AF97+AF98+AF99+AF100+AF101+AF102+AF103+AF104+AF105+AF106+AF107+AF109+AF110+AF111+#REF!</f>
        <v>#REF!</v>
      </c>
    </row>
    <row r="88" spans="1:32" ht="22.5" x14ac:dyDescent="0.2">
      <c r="A88" s="4"/>
      <c r="B88" s="31"/>
      <c r="C88" s="42" t="s">
        <v>171</v>
      </c>
      <c r="D88" s="134" t="s">
        <v>172</v>
      </c>
      <c r="E88" s="32">
        <v>7500</v>
      </c>
      <c r="F88" s="20">
        <v>1728</v>
      </c>
      <c r="G88" s="11">
        <f t="shared" si="33"/>
        <v>0.23039999999999999</v>
      </c>
      <c r="H88" s="20">
        <v>7000</v>
      </c>
      <c r="I88" s="20">
        <v>8000</v>
      </c>
      <c r="J88" s="11">
        <f t="shared" si="34"/>
        <v>1.0666666666666667</v>
      </c>
      <c r="K88" s="24">
        <f>L88+T88+U88+AF88</f>
        <v>7500</v>
      </c>
      <c r="L88" s="19">
        <f>SUM(M88:S88)</f>
        <v>7500</v>
      </c>
      <c r="M88" s="19"/>
      <c r="N88" s="19"/>
      <c r="O88" s="19"/>
      <c r="P88" s="55">
        <v>7500</v>
      </c>
      <c r="Q88" s="19"/>
      <c r="R88" s="19"/>
      <c r="S88" s="19"/>
      <c r="T88" s="19"/>
      <c r="U88" s="19">
        <f>SUM(V88:AE88)</f>
        <v>0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x14ac:dyDescent="0.2">
      <c r="A89" s="4"/>
      <c r="B89" s="31"/>
      <c r="C89" s="42" t="s">
        <v>116</v>
      </c>
      <c r="D89" s="134" t="s">
        <v>117</v>
      </c>
      <c r="E89" s="32">
        <v>3089893.85</v>
      </c>
      <c r="F89" s="20">
        <v>1966562.59</v>
      </c>
      <c r="G89" s="11">
        <f t="shared" si="33"/>
        <v>0.63644988645807365</v>
      </c>
      <c r="H89" s="20">
        <v>3089893.85</v>
      </c>
      <c r="I89" s="20">
        <v>2942094.33</v>
      </c>
      <c r="J89" s="11">
        <f t="shared" si="34"/>
        <v>0.95216679692734429</v>
      </c>
      <c r="K89" s="24">
        <f t="shared" ref="K89:K111" si="42">L89+T89+U89+AF89</f>
        <v>3089893.45</v>
      </c>
      <c r="L89" s="19">
        <f t="shared" ref="L89:L111" si="43">SUM(M89:S89)</f>
        <v>3089893.45</v>
      </c>
      <c r="M89" s="19"/>
      <c r="N89" s="19"/>
      <c r="O89" s="19"/>
      <c r="P89" s="19"/>
      <c r="Q89" s="55">
        <v>3089893.45</v>
      </c>
      <c r="R89" s="19"/>
      <c r="S89" s="19"/>
      <c r="T89" s="19"/>
      <c r="U89" s="19">
        <f t="shared" ref="U89:U111" si="44">SUM(V89:AE89)</f>
        <v>0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x14ac:dyDescent="0.2">
      <c r="A90" s="4"/>
      <c r="B90" s="31"/>
      <c r="C90" s="42" t="s">
        <v>173</v>
      </c>
      <c r="D90" s="134" t="s">
        <v>174</v>
      </c>
      <c r="E90" s="32">
        <v>216086.8</v>
      </c>
      <c r="F90" s="20">
        <v>195818.01</v>
      </c>
      <c r="G90" s="11">
        <f t="shared" si="33"/>
        <v>0.90620070268058961</v>
      </c>
      <c r="H90" s="20">
        <v>216000</v>
      </c>
      <c r="I90" s="20">
        <v>254049.11</v>
      </c>
      <c r="J90" s="11">
        <f t="shared" si="34"/>
        <v>1.1756808375152947</v>
      </c>
      <c r="K90" s="24">
        <f t="shared" si="42"/>
        <v>216086.8</v>
      </c>
      <c r="L90" s="19">
        <f t="shared" si="43"/>
        <v>216086.8</v>
      </c>
      <c r="M90" s="19"/>
      <c r="N90" s="19"/>
      <c r="O90" s="19"/>
      <c r="P90" s="19"/>
      <c r="Q90" s="55">
        <v>216086.8</v>
      </c>
      <c r="R90" s="19"/>
      <c r="S90" s="19"/>
      <c r="T90" s="19"/>
      <c r="U90" s="19">
        <f t="shared" si="44"/>
        <v>0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1:32" x14ac:dyDescent="0.2">
      <c r="A91" s="4"/>
      <c r="B91" s="31"/>
      <c r="C91" s="42" t="s">
        <v>118</v>
      </c>
      <c r="D91" s="134" t="s">
        <v>119</v>
      </c>
      <c r="E91" s="32">
        <v>530550.91</v>
      </c>
      <c r="F91" s="20">
        <v>361621.9</v>
      </c>
      <c r="G91" s="11">
        <f t="shared" si="33"/>
        <v>0.68159698378427058</v>
      </c>
      <c r="H91" s="20">
        <v>530000</v>
      </c>
      <c r="I91" s="20">
        <v>558883.42000000004</v>
      </c>
      <c r="J91" s="11">
        <f t="shared" si="34"/>
        <v>1.0534020571183262</v>
      </c>
      <c r="K91" s="24">
        <f t="shared" si="42"/>
        <v>533050.91</v>
      </c>
      <c r="L91" s="19">
        <f t="shared" si="43"/>
        <v>533050.91</v>
      </c>
      <c r="M91" s="19"/>
      <c r="N91" s="19"/>
      <c r="O91" s="19"/>
      <c r="P91" s="19"/>
      <c r="Q91" s="55">
        <v>533050.91</v>
      </c>
      <c r="R91" s="19"/>
      <c r="S91" s="19"/>
      <c r="T91" s="19"/>
      <c r="U91" s="19">
        <f t="shared" si="44"/>
        <v>0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1:32" x14ac:dyDescent="0.2">
      <c r="A92" s="4"/>
      <c r="B92" s="31"/>
      <c r="C92" s="42" t="s">
        <v>120</v>
      </c>
      <c r="D92" s="134" t="s">
        <v>121</v>
      </c>
      <c r="E92" s="32">
        <v>70004.88</v>
      </c>
      <c r="F92" s="20">
        <v>33885.589999999997</v>
      </c>
      <c r="G92" s="11">
        <f t="shared" si="33"/>
        <v>0.48404611221389127</v>
      </c>
      <c r="H92" s="20">
        <v>65000</v>
      </c>
      <c r="I92" s="20">
        <v>74337.2</v>
      </c>
      <c r="J92" s="11">
        <f t="shared" si="34"/>
        <v>1.0618859713779953</v>
      </c>
      <c r="K92" s="24">
        <f t="shared" si="42"/>
        <v>70004.88</v>
      </c>
      <c r="L92" s="19">
        <f t="shared" si="43"/>
        <v>70004.88</v>
      </c>
      <c r="M92" s="19"/>
      <c r="N92" s="19"/>
      <c r="O92" s="19"/>
      <c r="P92" s="19"/>
      <c r="Q92" s="55">
        <v>70004.88</v>
      </c>
      <c r="R92" s="19"/>
      <c r="S92" s="19"/>
      <c r="T92" s="19"/>
      <c r="U92" s="19">
        <f t="shared" si="44"/>
        <v>0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</row>
    <row r="93" spans="1:32" ht="22.5" x14ac:dyDescent="0.2">
      <c r="A93" s="4"/>
      <c r="B93" s="31"/>
      <c r="C93" s="42" t="s">
        <v>183</v>
      </c>
      <c r="D93" s="134" t="s">
        <v>184</v>
      </c>
      <c r="E93" s="32">
        <v>50530</v>
      </c>
      <c r="F93" s="20">
        <v>37613</v>
      </c>
      <c r="G93" s="11">
        <f t="shared" si="33"/>
        <v>0.74436968137739956</v>
      </c>
      <c r="H93" s="20">
        <f>F93/3*4</f>
        <v>50150.666666666664</v>
      </c>
      <c r="I93" s="20">
        <v>50000</v>
      </c>
      <c r="J93" s="11">
        <f t="shared" si="34"/>
        <v>0.98951118147635064</v>
      </c>
      <c r="K93" s="24">
        <f t="shared" si="42"/>
        <v>30000</v>
      </c>
      <c r="L93" s="19">
        <f t="shared" si="43"/>
        <v>30000</v>
      </c>
      <c r="M93" s="19"/>
      <c r="N93" s="19"/>
      <c r="O93" s="19"/>
      <c r="P93" s="19"/>
      <c r="Q93" s="99">
        <v>30000</v>
      </c>
      <c r="R93" s="19"/>
      <c r="S93" s="19"/>
      <c r="T93" s="19"/>
      <c r="U93" s="19">
        <f t="shared" si="44"/>
        <v>0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x14ac:dyDescent="0.2">
      <c r="A94" s="4"/>
      <c r="B94" s="31"/>
      <c r="C94" s="42" t="s">
        <v>128</v>
      </c>
      <c r="D94" s="134" t="s">
        <v>129</v>
      </c>
      <c r="E94" s="32">
        <v>47500</v>
      </c>
      <c r="F94" s="20">
        <v>45653.66</v>
      </c>
      <c r="G94" s="11">
        <f t="shared" si="33"/>
        <v>0.96112968421052636</v>
      </c>
      <c r="H94" s="20">
        <v>47500</v>
      </c>
      <c r="I94" s="20">
        <v>50960</v>
      </c>
      <c r="J94" s="11">
        <f t="shared" si="34"/>
        <v>1.0728421052631578</v>
      </c>
      <c r="K94" s="24">
        <v>50000</v>
      </c>
      <c r="L94" s="19">
        <f t="shared" si="43"/>
        <v>0</v>
      </c>
      <c r="M94" s="19"/>
      <c r="N94" s="19"/>
      <c r="O94" s="19"/>
      <c r="P94" s="19"/>
      <c r="Q94" s="21">
        <v>0</v>
      </c>
      <c r="R94" s="19"/>
      <c r="S94" s="19"/>
      <c r="T94" s="19"/>
      <c r="U94" s="19">
        <f t="shared" si="44"/>
        <v>0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</row>
    <row r="95" spans="1:32" x14ac:dyDescent="0.2">
      <c r="A95" s="4"/>
      <c r="B95" s="31"/>
      <c r="C95" s="42" t="s">
        <v>122</v>
      </c>
      <c r="D95" s="134" t="s">
        <v>123</v>
      </c>
      <c r="E95" s="32">
        <v>141532.13</v>
      </c>
      <c r="F95" s="20">
        <v>61039.8</v>
      </c>
      <c r="G95" s="11">
        <f t="shared" si="33"/>
        <v>0.43127874921404774</v>
      </c>
      <c r="H95" s="20">
        <v>130000</v>
      </c>
      <c r="I95" s="20">
        <v>90000</v>
      </c>
      <c r="J95" s="11">
        <f t="shared" si="34"/>
        <v>0.63589801128549395</v>
      </c>
      <c r="K95" s="24">
        <f t="shared" si="42"/>
        <v>141700</v>
      </c>
      <c r="L95" s="19">
        <f t="shared" si="43"/>
        <v>141700</v>
      </c>
      <c r="M95" s="19"/>
      <c r="N95" s="55">
        <v>14000</v>
      </c>
      <c r="O95" s="55"/>
      <c r="P95" s="55">
        <v>127700</v>
      </c>
      <c r="Q95" s="19"/>
      <c r="R95" s="19"/>
      <c r="S95" s="19"/>
      <c r="T95" s="19"/>
      <c r="U95" s="19">
        <f t="shared" si="44"/>
        <v>0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</row>
    <row r="96" spans="1:32" x14ac:dyDescent="0.2">
      <c r="A96" s="4"/>
      <c r="B96" s="31"/>
      <c r="C96" s="33" t="s">
        <v>239</v>
      </c>
      <c r="D96" s="34" t="s">
        <v>379</v>
      </c>
      <c r="E96" s="32">
        <v>0</v>
      </c>
      <c r="F96" s="20">
        <v>0</v>
      </c>
      <c r="G96" s="11">
        <v>0</v>
      </c>
      <c r="H96" s="20">
        <f t="shared" ref="H96:H104" si="45">F96/3*4</f>
        <v>0</v>
      </c>
      <c r="I96" s="20">
        <v>3000</v>
      </c>
      <c r="J96" s="11">
        <v>0</v>
      </c>
      <c r="K96" s="24"/>
      <c r="L96" s="19"/>
      <c r="M96" s="19"/>
      <c r="N96" s="55"/>
      <c r="O96" s="55"/>
      <c r="P96" s="55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</row>
    <row r="97" spans="1:32" x14ac:dyDescent="0.2">
      <c r="A97" s="4"/>
      <c r="B97" s="31"/>
      <c r="C97" s="42" t="s">
        <v>130</v>
      </c>
      <c r="D97" s="134" t="s">
        <v>131</v>
      </c>
      <c r="E97" s="32">
        <v>78000</v>
      </c>
      <c r="F97" s="20">
        <v>54720.27</v>
      </c>
      <c r="G97" s="11">
        <f t="shared" si="33"/>
        <v>0.70154192307692309</v>
      </c>
      <c r="H97" s="20">
        <f t="shared" si="45"/>
        <v>72960.36</v>
      </c>
      <c r="I97" s="20">
        <v>84000</v>
      </c>
      <c r="J97" s="11">
        <f t="shared" si="34"/>
        <v>1.0769230769230769</v>
      </c>
      <c r="K97" s="24">
        <f t="shared" si="42"/>
        <v>78000</v>
      </c>
      <c r="L97" s="19">
        <f t="shared" si="43"/>
        <v>78000</v>
      </c>
      <c r="M97" s="19"/>
      <c r="N97" s="19"/>
      <c r="O97" s="19"/>
      <c r="P97" s="55">
        <v>78000</v>
      </c>
      <c r="Q97" s="19"/>
      <c r="R97" s="19"/>
      <c r="S97" s="19"/>
      <c r="T97" s="19"/>
      <c r="U97" s="19">
        <f t="shared" si="44"/>
        <v>0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</row>
    <row r="98" spans="1:32" x14ac:dyDescent="0.2">
      <c r="A98" s="4"/>
      <c r="B98" s="31"/>
      <c r="C98" s="42" t="s">
        <v>140</v>
      </c>
      <c r="D98" s="134" t="s">
        <v>141</v>
      </c>
      <c r="E98" s="32">
        <v>39000</v>
      </c>
      <c r="F98" s="20">
        <v>5937.47</v>
      </c>
      <c r="G98" s="11">
        <f t="shared" si="33"/>
        <v>0.15224282051282051</v>
      </c>
      <c r="H98" s="20">
        <v>32000</v>
      </c>
      <c r="I98" s="20">
        <v>39000</v>
      </c>
      <c r="J98" s="11">
        <f t="shared" si="34"/>
        <v>1</v>
      </c>
      <c r="K98" s="24">
        <f t="shared" si="42"/>
        <v>39000</v>
      </c>
      <c r="L98" s="19">
        <f t="shared" si="43"/>
        <v>39000</v>
      </c>
      <c r="M98" s="19"/>
      <c r="N98" s="19"/>
      <c r="O98" s="19"/>
      <c r="P98" s="55">
        <v>39000</v>
      </c>
      <c r="Q98" s="19"/>
      <c r="R98" s="19"/>
      <c r="S98" s="19"/>
      <c r="T98" s="19"/>
      <c r="U98" s="19">
        <f t="shared" si="44"/>
        <v>0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x14ac:dyDescent="0.2">
      <c r="A99" s="4"/>
      <c r="B99" s="31"/>
      <c r="C99" s="42" t="s">
        <v>185</v>
      </c>
      <c r="D99" s="134" t="s">
        <v>186</v>
      </c>
      <c r="E99" s="32">
        <v>4000</v>
      </c>
      <c r="F99" s="20">
        <v>3607.5</v>
      </c>
      <c r="G99" s="11">
        <f t="shared" si="33"/>
        <v>0.90187499999999998</v>
      </c>
      <c r="H99" s="20">
        <v>4000</v>
      </c>
      <c r="I99" s="20">
        <v>5000</v>
      </c>
      <c r="J99" s="11">
        <f t="shared" si="34"/>
        <v>1.25</v>
      </c>
      <c r="K99" s="24">
        <f t="shared" si="42"/>
        <v>4000</v>
      </c>
      <c r="L99" s="19">
        <f t="shared" si="43"/>
        <v>4000</v>
      </c>
      <c r="M99" s="19"/>
      <c r="N99" s="19"/>
      <c r="O99" s="19"/>
      <c r="P99" s="55">
        <v>4000</v>
      </c>
      <c r="Q99" s="19"/>
      <c r="R99" s="19"/>
      <c r="S99" s="19"/>
      <c r="T99" s="19"/>
      <c r="U99" s="19">
        <f t="shared" si="44"/>
        <v>0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1:32" x14ac:dyDescent="0.2">
      <c r="A100" s="4"/>
      <c r="B100" s="31"/>
      <c r="C100" s="42" t="s">
        <v>124</v>
      </c>
      <c r="D100" s="134" t="s">
        <v>125</v>
      </c>
      <c r="E100" s="32">
        <v>449500</v>
      </c>
      <c r="F100" s="20">
        <v>281918.11</v>
      </c>
      <c r="G100" s="11">
        <f t="shared" si="33"/>
        <v>0.62718155728587321</v>
      </c>
      <c r="H100" s="20">
        <v>400000</v>
      </c>
      <c r="I100" s="20">
        <v>420000</v>
      </c>
      <c r="J100" s="11">
        <f t="shared" si="34"/>
        <v>0.93437152391546163</v>
      </c>
      <c r="K100" s="24">
        <f t="shared" si="42"/>
        <v>421500</v>
      </c>
      <c r="L100" s="19">
        <f t="shared" si="43"/>
        <v>421500</v>
      </c>
      <c r="M100" s="19"/>
      <c r="N100" s="55">
        <v>22000</v>
      </c>
      <c r="O100" s="55"/>
      <c r="P100" s="55">
        <v>399500</v>
      </c>
      <c r="Q100" s="19"/>
      <c r="R100" s="19"/>
      <c r="S100" s="19"/>
      <c r="T100" s="19"/>
      <c r="U100" s="19">
        <f t="shared" si="44"/>
        <v>0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</row>
    <row r="101" spans="1:32" ht="22.5" x14ac:dyDescent="0.2">
      <c r="A101" s="4"/>
      <c r="B101" s="31"/>
      <c r="C101" s="42" t="s">
        <v>147</v>
      </c>
      <c r="D101" s="134" t="s">
        <v>148</v>
      </c>
      <c r="E101" s="32">
        <v>36500</v>
      </c>
      <c r="F101" s="20">
        <v>27671.38</v>
      </c>
      <c r="G101" s="11">
        <f t="shared" si="33"/>
        <v>0.75812000000000002</v>
      </c>
      <c r="H101" s="20">
        <v>36500</v>
      </c>
      <c r="I101" s="20">
        <v>38500</v>
      </c>
      <c r="J101" s="11">
        <f t="shared" si="34"/>
        <v>1.0547945205479452</v>
      </c>
      <c r="K101" s="24">
        <f t="shared" si="42"/>
        <v>36500</v>
      </c>
      <c r="L101" s="19">
        <f t="shared" si="43"/>
        <v>36500</v>
      </c>
      <c r="M101" s="19"/>
      <c r="N101" s="19"/>
      <c r="O101" s="19"/>
      <c r="P101" s="55">
        <v>36500</v>
      </c>
      <c r="Q101" s="19"/>
      <c r="R101" s="19"/>
      <c r="S101" s="19"/>
      <c r="T101" s="19"/>
      <c r="U101" s="19">
        <f t="shared" si="44"/>
        <v>0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32" x14ac:dyDescent="0.2">
      <c r="A102" s="4"/>
      <c r="B102" s="31"/>
      <c r="C102" s="42" t="s">
        <v>187</v>
      </c>
      <c r="D102" s="134" t="s">
        <v>188</v>
      </c>
      <c r="E102" s="32">
        <v>1000</v>
      </c>
      <c r="F102" s="20">
        <v>130.36000000000001</v>
      </c>
      <c r="G102" s="11">
        <f t="shared" si="33"/>
        <v>0.13036</v>
      </c>
      <c r="H102" s="20">
        <f t="shared" si="45"/>
        <v>173.81333333333336</v>
      </c>
      <c r="I102" s="20">
        <v>1000</v>
      </c>
      <c r="J102" s="11">
        <f t="shared" si="34"/>
        <v>1</v>
      </c>
      <c r="K102" s="24">
        <f t="shared" si="42"/>
        <v>1000</v>
      </c>
      <c r="L102" s="19">
        <f t="shared" si="43"/>
        <v>1000</v>
      </c>
      <c r="M102" s="19"/>
      <c r="N102" s="19"/>
      <c r="O102" s="19"/>
      <c r="P102" s="55">
        <v>1000</v>
      </c>
      <c r="Q102" s="19"/>
      <c r="R102" s="19"/>
      <c r="S102" s="19"/>
      <c r="T102" s="19"/>
      <c r="U102" s="19">
        <f t="shared" si="44"/>
        <v>0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1:32" ht="22.5" x14ac:dyDescent="0.2">
      <c r="A103" s="4"/>
      <c r="B103" s="31"/>
      <c r="C103" s="42" t="s">
        <v>189</v>
      </c>
      <c r="D103" s="134" t="s">
        <v>190</v>
      </c>
      <c r="E103" s="32">
        <v>52800</v>
      </c>
      <c r="F103" s="20">
        <v>35800</v>
      </c>
      <c r="G103" s="11">
        <f t="shared" si="33"/>
        <v>0.67803030303030298</v>
      </c>
      <c r="H103" s="20">
        <f t="shared" si="45"/>
        <v>47733.333333333336</v>
      </c>
      <c r="I103" s="20">
        <v>57000</v>
      </c>
      <c r="J103" s="11">
        <f t="shared" si="34"/>
        <v>1.0795454545454546</v>
      </c>
      <c r="K103" s="24">
        <f t="shared" si="42"/>
        <v>60000</v>
      </c>
      <c r="L103" s="19">
        <f t="shared" si="43"/>
        <v>60000</v>
      </c>
      <c r="M103" s="19"/>
      <c r="N103" s="19"/>
      <c r="O103" s="19"/>
      <c r="P103" s="101">
        <v>60000</v>
      </c>
      <c r="Q103" s="19"/>
      <c r="R103" s="19"/>
      <c r="S103" s="19"/>
      <c r="T103" s="19"/>
      <c r="U103" s="19">
        <f t="shared" si="44"/>
        <v>0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x14ac:dyDescent="0.2">
      <c r="A104" s="4"/>
      <c r="B104" s="31"/>
      <c r="C104" s="42" t="s">
        <v>191</v>
      </c>
      <c r="D104" s="134" t="s">
        <v>192</v>
      </c>
      <c r="E104" s="32">
        <v>38000</v>
      </c>
      <c r="F104" s="20">
        <v>24895.83</v>
      </c>
      <c r="G104" s="11">
        <f t="shared" si="33"/>
        <v>0.65515342105263163</v>
      </c>
      <c r="H104" s="20">
        <f t="shared" si="45"/>
        <v>33194.44</v>
      </c>
      <c r="I104" s="20">
        <v>38000</v>
      </c>
      <c r="J104" s="11">
        <f t="shared" si="34"/>
        <v>1</v>
      </c>
      <c r="K104" s="24">
        <f t="shared" si="42"/>
        <v>38000</v>
      </c>
      <c r="L104" s="19">
        <f t="shared" si="43"/>
        <v>38000</v>
      </c>
      <c r="M104" s="19"/>
      <c r="N104" s="19"/>
      <c r="O104" s="19"/>
      <c r="P104" s="55">
        <v>38000</v>
      </c>
      <c r="Q104" s="19"/>
      <c r="R104" s="19"/>
      <c r="S104" s="19"/>
      <c r="T104" s="19"/>
      <c r="U104" s="19">
        <f t="shared" si="44"/>
        <v>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x14ac:dyDescent="0.2">
      <c r="A105" s="4"/>
      <c r="B105" s="31"/>
      <c r="C105" s="42" t="s">
        <v>181</v>
      </c>
      <c r="D105" s="134" t="s">
        <v>182</v>
      </c>
      <c r="E105" s="32">
        <v>4000</v>
      </c>
      <c r="F105" s="20">
        <v>0</v>
      </c>
      <c r="G105" s="11">
        <v>0</v>
      </c>
      <c r="H105" s="20">
        <v>0</v>
      </c>
      <c r="I105" s="20">
        <v>4000</v>
      </c>
      <c r="J105" s="11">
        <v>0</v>
      </c>
      <c r="K105" s="24">
        <f t="shared" si="42"/>
        <v>4000</v>
      </c>
      <c r="L105" s="19">
        <f t="shared" si="43"/>
        <v>4000</v>
      </c>
      <c r="M105" s="19"/>
      <c r="N105" s="19"/>
      <c r="O105" s="19"/>
      <c r="P105" s="55">
        <v>4000</v>
      </c>
      <c r="Q105" s="19"/>
      <c r="R105" s="19"/>
      <c r="S105" s="19"/>
      <c r="T105" s="19"/>
      <c r="U105" s="19">
        <f t="shared" si="44"/>
        <v>0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x14ac:dyDescent="0.2">
      <c r="A106" s="4"/>
      <c r="B106" s="31"/>
      <c r="C106" s="42" t="s">
        <v>126</v>
      </c>
      <c r="D106" s="134" t="s">
        <v>127</v>
      </c>
      <c r="E106" s="32">
        <v>31500</v>
      </c>
      <c r="F106" s="20">
        <v>30907.119999999999</v>
      </c>
      <c r="G106" s="11">
        <f t="shared" si="33"/>
        <v>0.98117841269841266</v>
      </c>
      <c r="H106" s="20">
        <v>31500</v>
      </c>
      <c r="I106" s="20">
        <v>34000</v>
      </c>
      <c r="J106" s="11">
        <f t="shared" si="34"/>
        <v>1.0793650793650793</v>
      </c>
      <c r="K106" s="24">
        <f t="shared" si="42"/>
        <v>30000</v>
      </c>
      <c r="L106" s="19">
        <f t="shared" si="43"/>
        <v>30000</v>
      </c>
      <c r="M106" s="19"/>
      <c r="N106" s="19"/>
      <c r="O106" s="19"/>
      <c r="P106" s="55">
        <v>30000</v>
      </c>
      <c r="Q106" s="19"/>
      <c r="R106" s="19"/>
      <c r="S106" s="19"/>
      <c r="T106" s="19"/>
      <c r="U106" s="19">
        <f t="shared" si="44"/>
        <v>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ht="22.5" x14ac:dyDescent="0.2">
      <c r="A107" s="4"/>
      <c r="B107" s="31"/>
      <c r="C107" s="42" t="s">
        <v>193</v>
      </c>
      <c r="D107" s="134" t="s">
        <v>194</v>
      </c>
      <c r="E107" s="32">
        <v>79451</v>
      </c>
      <c r="F107" s="20">
        <v>79451</v>
      </c>
      <c r="G107" s="11">
        <f t="shared" si="33"/>
        <v>1</v>
      </c>
      <c r="H107" s="20">
        <f>F107</f>
        <v>79451</v>
      </c>
      <c r="I107" s="20">
        <v>98700</v>
      </c>
      <c r="J107" s="11">
        <f t="shared" si="34"/>
        <v>1.2422751129627065</v>
      </c>
      <c r="K107" s="24">
        <f t="shared" si="42"/>
        <v>79451</v>
      </c>
      <c r="L107" s="19">
        <f t="shared" si="43"/>
        <v>79451</v>
      </c>
      <c r="M107" s="19"/>
      <c r="N107" s="19"/>
      <c r="O107" s="19"/>
      <c r="P107" s="19"/>
      <c r="Q107" s="55">
        <v>79451</v>
      </c>
      <c r="R107" s="19"/>
      <c r="S107" s="19"/>
      <c r="T107" s="19"/>
      <c r="U107" s="19">
        <f t="shared" si="44"/>
        <v>0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ht="33.75" x14ac:dyDescent="0.2">
      <c r="A108" s="4"/>
      <c r="B108" s="31"/>
      <c r="C108" s="33" t="s">
        <v>161</v>
      </c>
      <c r="D108" s="34" t="s">
        <v>162</v>
      </c>
      <c r="E108" s="32">
        <v>167.87</v>
      </c>
      <c r="F108" s="20">
        <v>167.87</v>
      </c>
      <c r="G108" s="11">
        <f t="shared" si="33"/>
        <v>1</v>
      </c>
      <c r="H108" s="20">
        <f>F108</f>
        <v>167.87</v>
      </c>
      <c r="I108" s="20">
        <v>0</v>
      </c>
      <c r="J108" s="11">
        <f t="shared" si="34"/>
        <v>0</v>
      </c>
      <c r="K108" s="24"/>
      <c r="L108" s="19"/>
      <c r="M108" s="19"/>
      <c r="N108" s="19"/>
      <c r="O108" s="19"/>
      <c r="P108" s="19"/>
      <c r="Q108" s="55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22.5" x14ac:dyDescent="0.2">
      <c r="A109" s="4"/>
      <c r="B109" s="31"/>
      <c r="C109" s="42" t="s">
        <v>163</v>
      </c>
      <c r="D109" s="134" t="s">
        <v>164</v>
      </c>
      <c r="E109" s="32">
        <v>30000</v>
      </c>
      <c r="F109" s="20">
        <v>9925.6</v>
      </c>
      <c r="G109" s="11">
        <f t="shared" si="33"/>
        <v>0.33085333333333333</v>
      </c>
      <c r="H109" s="20">
        <f>F109/3*4</f>
        <v>13234.133333333333</v>
      </c>
      <c r="I109" s="20">
        <v>0</v>
      </c>
      <c r="J109" s="11">
        <f t="shared" si="34"/>
        <v>0</v>
      </c>
      <c r="K109" s="24">
        <f t="shared" si="42"/>
        <v>30000</v>
      </c>
      <c r="L109" s="19">
        <f t="shared" si="43"/>
        <v>30000</v>
      </c>
      <c r="M109" s="19"/>
      <c r="N109" s="19"/>
      <c r="O109" s="19"/>
      <c r="P109" s="19"/>
      <c r="Q109" s="99">
        <v>30000</v>
      </c>
      <c r="R109" s="19"/>
      <c r="S109" s="19"/>
      <c r="T109" s="19"/>
      <c r="U109" s="19">
        <f t="shared" si="44"/>
        <v>0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ht="22.5" x14ac:dyDescent="0.2">
      <c r="A110" s="4"/>
      <c r="B110" s="31"/>
      <c r="C110" s="42" t="s">
        <v>195</v>
      </c>
      <c r="D110" s="134" t="s">
        <v>196</v>
      </c>
      <c r="E110" s="32">
        <v>30000</v>
      </c>
      <c r="F110" s="20">
        <v>17885.34</v>
      </c>
      <c r="G110" s="11">
        <f t="shared" si="33"/>
        <v>0.59617799999999999</v>
      </c>
      <c r="H110" s="20">
        <f>F110/3*4</f>
        <v>23847.119999999999</v>
      </c>
      <c r="I110" s="20">
        <v>25000</v>
      </c>
      <c r="J110" s="11">
        <f t="shared" si="34"/>
        <v>0.83333333333333337</v>
      </c>
      <c r="K110" s="24">
        <f t="shared" si="42"/>
        <v>30000</v>
      </c>
      <c r="L110" s="19">
        <f t="shared" si="43"/>
        <v>30000</v>
      </c>
      <c r="M110" s="19"/>
      <c r="N110" s="19">
        <v>0</v>
      </c>
      <c r="O110" s="19"/>
      <c r="P110" s="55">
        <v>30000</v>
      </c>
      <c r="Q110" s="19"/>
      <c r="R110" s="19"/>
      <c r="S110" s="19"/>
      <c r="T110" s="19"/>
      <c r="U110" s="19">
        <f t="shared" si="44"/>
        <v>0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22.5" x14ac:dyDescent="0.2">
      <c r="A111" s="4"/>
      <c r="B111" s="31"/>
      <c r="C111" s="42" t="s">
        <v>142</v>
      </c>
      <c r="D111" s="134" t="s">
        <v>143</v>
      </c>
      <c r="E111" s="32">
        <v>19000</v>
      </c>
      <c r="F111" s="20">
        <v>19000</v>
      </c>
      <c r="G111" s="11">
        <v>0</v>
      </c>
      <c r="H111" s="20">
        <v>19000</v>
      </c>
      <c r="I111" s="20">
        <v>60000</v>
      </c>
      <c r="J111" s="11">
        <v>0</v>
      </c>
      <c r="K111" s="24">
        <f t="shared" si="42"/>
        <v>480000</v>
      </c>
      <c r="L111" s="19">
        <f t="shared" si="43"/>
        <v>480000</v>
      </c>
      <c r="M111" s="19"/>
      <c r="N111" s="101">
        <v>0</v>
      </c>
      <c r="O111" s="55"/>
      <c r="P111" s="106">
        <v>480000</v>
      </c>
      <c r="Q111" s="19"/>
      <c r="R111" s="19"/>
      <c r="S111" s="19"/>
      <c r="T111" s="19"/>
      <c r="U111" s="19">
        <f t="shared" si="44"/>
        <v>0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ht="15.75" x14ac:dyDescent="0.2">
      <c r="A112" s="3"/>
      <c r="B112" s="165" t="s">
        <v>374</v>
      </c>
      <c r="C112" s="166"/>
      <c r="D112" s="167" t="s">
        <v>381</v>
      </c>
      <c r="E112" s="168">
        <f>E115+E116+E113+E114</f>
        <v>25056</v>
      </c>
      <c r="F112" s="168">
        <f>F115+F116+F113+F114</f>
        <v>0</v>
      </c>
      <c r="G112" s="170">
        <v>0</v>
      </c>
      <c r="H112" s="168">
        <f t="shared" ref="H112:AF112" si="46">H115+H116</f>
        <v>0</v>
      </c>
      <c r="I112" s="168">
        <f t="shared" si="46"/>
        <v>0</v>
      </c>
      <c r="J112" s="170">
        <v>0</v>
      </c>
      <c r="K112" s="109">
        <f t="shared" si="46"/>
        <v>0</v>
      </c>
      <c r="L112" s="85">
        <f t="shared" si="46"/>
        <v>0</v>
      </c>
      <c r="M112" s="85">
        <f t="shared" si="46"/>
        <v>0</v>
      </c>
      <c r="N112" s="85">
        <f t="shared" si="46"/>
        <v>0</v>
      </c>
      <c r="O112" s="85"/>
      <c r="P112" s="85">
        <f t="shared" si="46"/>
        <v>0</v>
      </c>
      <c r="Q112" s="85">
        <f t="shared" si="46"/>
        <v>0</v>
      </c>
      <c r="R112" s="85">
        <f t="shared" si="46"/>
        <v>0</v>
      </c>
      <c r="S112" s="86">
        <f>S115+S116</f>
        <v>0</v>
      </c>
      <c r="T112" s="85">
        <f t="shared" si="46"/>
        <v>0</v>
      </c>
      <c r="U112" s="85">
        <f t="shared" si="46"/>
        <v>0</v>
      </c>
      <c r="V112" s="85">
        <f t="shared" si="46"/>
        <v>0</v>
      </c>
      <c r="W112" s="85">
        <f t="shared" si="46"/>
        <v>0</v>
      </c>
      <c r="X112" s="85">
        <f t="shared" si="46"/>
        <v>0</v>
      </c>
      <c r="Y112" s="85">
        <f t="shared" si="46"/>
        <v>0</v>
      </c>
      <c r="Z112" s="85">
        <f t="shared" si="46"/>
        <v>0</v>
      </c>
      <c r="AA112" s="85">
        <f t="shared" si="46"/>
        <v>0</v>
      </c>
      <c r="AB112" s="85">
        <f t="shared" si="46"/>
        <v>0</v>
      </c>
      <c r="AC112" s="85">
        <f t="shared" si="46"/>
        <v>0</v>
      </c>
      <c r="AD112" s="85">
        <f t="shared" si="46"/>
        <v>0</v>
      </c>
      <c r="AE112" s="85">
        <f t="shared" si="46"/>
        <v>0</v>
      </c>
      <c r="AF112" s="85">
        <f t="shared" si="46"/>
        <v>0</v>
      </c>
    </row>
    <row r="113" spans="1:32" ht="15" x14ac:dyDescent="0.2">
      <c r="A113" s="3"/>
      <c r="B113" s="143"/>
      <c r="C113" s="137" t="s">
        <v>116</v>
      </c>
      <c r="D113" s="144" t="s">
        <v>117</v>
      </c>
      <c r="E113" s="145">
        <v>20360</v>
      </c>
      <c r="F113" s="145">
        <v>0</v>
      </c>
      <c r="G113" s="14">
        <v>0</v>
      </c>
      <c r="H113" s="145">
        <v>0</v>
      </c>
      <c r="I113" s="145">
        <v>0</v>
      </c>
      <c r="J113" s="14">
        <v>0</v>
      </c>
      <c r="K113" s="140"/>
      <c r="L113" s="141"/>
      <c r="M113" s="141"/>
      <c r="N113" s="141"/>
      <c r="O113" s="141"/>
      <c r="P113" s="141"/>
      <c r="Q113" s="141"/>
      <c r="R113" s="141"/>
      <c r="S113" s="142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</row>
    <row r="114" spans="1:32" ht="15" x14ac:dyDescent="0.2">
      <c r="A114" s="3"/>
      <c r="B114" s="143"/>
      <c r="C114" s="137" t="s">
        <v>118</v>
      </c>
      <c r="D114" s="144" t="s">
        <v>119</v>
      </c>
      <c r="E114" s="145">
        <v>3480</v>
      </c>
      <c r="F114" s="145">
        <v>0</v>
      </c>
      <c r="G114" s="14">
        <v>0</v>
      </c>
      <c r="H114" s="145">
        <v>0</v>
      </c>
      <c r="I114" s="145">
        <v>0</v>
      </c>
      <c r="J114" s="14">
        <v>0</v>
      </c>
      <c r="K114" s="140"/>
      <c r="L114" s="141"/>
      <c r="M114" s="141"/>
      <c r="N114" s="141"/>
      <c r="O114" s="141"/>
      <c r="P114" s="141"/>
      <c r="Q114" s="141"/>
      <c r="R114" s="141"/>
      <c r="S114" s="142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</row>
    <row r="115" spans="1:32" x14ac:dyDescent="0.2">
      <c r="A115" s="4"/>
      <c r="B115" s="31"/>
      <c r="C115" s="42" t="s">
        <v>122</v>
      </c>
      <c r="D115" s="134" t="s">
        <v>123</v>
      </c>
      <c r="E115" s="32">
        <v>500</v>
      </c>
      <c r="F115" s="20">
        <v>0</v>
      </c>
      <c r="G115" s="11">
        <v>0</v>
      </c>
      <c r="H115" s="20">
        <v>0</v>
      </c>
      <c r="I115" s="20">
        <v>0</v>
      </c>
      <c r="J115" s="11">
        <v>0</v>
      </c>
      <c r="K115" s="24">
        <f>L115+T115+U115+AF115</f>
        <v>0</v>
      </c>
      <c r="L115" s="19">
        <f>SUM(M115:S115)</f>
        <v>0</v>
      </c>
      <c r="M115" s="19"/>
      <c r="N115" s="19"/>
      <c r="O115" s="19"/>
      <c r="P115" s="19"/>
      <c r="Q115" s="19"/>
      <c r="R115" s="19"/>
      <c r="S115" s="19"/>
      <c r="T115" s="19"/>
      <c r="U115" s="19">
        <f>SUM(V115:AE115)</f>
        <v>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</row>
    <row r="116" spans="1:32" x14ac:dyDescent="0.2">
      <c r="A116" s="4"/>
      <c r="B116" s="31"/>
      <c r="C116" s="42" t="s">
        <v>140</v>
      </c>
      <c r="D116" s="134" t="s">
        <v>141</v>
      </c>
      <c r="E116" s="32">
        <v>716</v>
      </c>
      <c r="F116" s="20">
        <v>0</v>
      </c>
      <c r="G116" s="11">
        <v>0</v>
      </c>
      <c r="H116" s="20">
        <v>0</v>
      </c>
      <c r="I116" s="20">
        <v>0</v>
      </c>
      <c r="J116" s="11">
        <v>0</v>
      </c>
      <c r="K116" s="24">
        <f>L116+T116+U116+AF116</f>
        <v>0</v>
      </c>
      <c r="L116" s="19">
        <f>SUM(M116:S116)</f>
        <v>0</v>
      </c>
      <c r="M116" s="19"/>
      <c r="N116" s="19"/>
      <c r="O116" s="19"/>
      <c r="P116" s="19"/>
      <c r="Q116" s="19"/>
      <c r="R116" s="19"/>
      <c r="S116" s="19"/>
      <c r="T116" s="19"/>
      <c r="U116" s="19">
        <f>SUM(V116:AE116)</f>
        <v>0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</row>
    <row r="117" spans="1:32" ht="22.5" x14ac:dyDescent="0.2">
      <c r="A117" s="3"/>
      <c r="B117" s="165" t="s">
        <v>197</v>
      </c>
      <c r="C117" s="166"/>
      <c r="D117" s="167" t="s">
        <v>198</v>
      </c>
      <c r="E117" s="168">
        <f>E118+E119+E120+E121+E122</f>
        <v>174807.78</v>
      </c>
      <c r="F117" s="168">
        <f t="shared" ref="F117:AF117" si="47">F118+F119+F120+F121+F122</f>
        <v>102919.5</v>
      </c>
      <c r="G117" s="170">
        <f t="shared" si="33"/>
        <v>0.58875812049097587</v>
      </c>
      <c r="H117" s="168">
        <f t="shared" si="47"/>
        <v>122784.3275</v>
      </c>
      <c r="I117" s="168">
        <f t="shared" si="47"/>
        <v>151100</v>
      </c>
      <c r="J117" s="170">
        <f t="shared" si="34"/>
        <v>0.86437800422841593</v>
      </c>
      <c r="K117" s="109">
        <f t="shared" si="47"/>
        <v>151100</v>
      </c>
      <c r="L117" s="85">
        <f t="shared" si="47"/>
        <v>151100</v>
      </c>
      <c r="M117" s="85">
        <f t="shared" si="47"/>
        <v>0</v>
      </c>
      <c r="N117" s="85">
        <f t="shared" si="47"/>
        <v>0</v>
      </c>
      <c r="O117" s="85">
        <f>O118+O119+O120+O121+O122</f>
        <v>151100</v>
      </c>
      <c r="P117" s="85">
        <f t="shared" si="47"/>
        <v>0</v>
      </c>
      <c r="Q117" s="85">
        <f t="shared" si="47"/>
        <v>0</v>
      </c>
      <c r="R117" s="85">
        <f t="shared" si="47"/>
        <v>0</v>
      </c>
      <c r="S117" s="86">
        <f>S118+S119+S120+S121+S122</f>
        <v>0</v>
      </c>
      <c r="T117" s="85">
        <f t="shared" si="47"/>
        <v>0</v>
      </c>
      <c r="U117" s="85">
        <f t="shared" si="47"/>
        <v>0</v>
      </c>
      <c r="V117" s="85">
        <f t="shared" si="47"/>
        <v>0</v>
      </c>
      <c r="W117" s="85">
        <f t="shared" si="47"/>
        <v>0</v>
      </c>
      <c r="X117" s="85">
        <f t="shared" si="47"/>
        <v>0</v>
      </c>
      <c r="Y117" s="85">
        <f t="shared" si="47"/>
        <v>0</v>
      </c>
      <c r="Z117" s="85">
        <f t="shared" si="47"/>
        <v>0</v>
      </c>
      <c r="AA117" s="85">
        <f t="shared" si="47"/>
        <v>0</v>
      </c>
      <c r="AB117" s="85">
        <f t="shared" si="47"/>
        <v>0</v>
      </c>
      <c r="AC117" s="85">
        <f t="shared" si="47"/>
        <v>0</v>
      </c>
      <c r="AD117" s="85">
        <f t="shared" si="47"/>
        <v>0</v>
      </c>
      <c r="AE117" s="85">
        <f t="shared" si="47"/>
        <v>0</v>
      </c>
      <c r="AF117" s="85">
        <f t="shared" si="47"/>
        <v>0</v>
      </c>
    </row>
    <row r="118" spans="1:32" x14ac:dyDescent="0.2">
      <c r="A118" s="4"/>
      <c r="B118" s="31"/>
      <c r="C118" s="42" t="s">
        <v>118</v>
      </c>
      <c r="D118" s="134" t="s">
        <v>119</v>
      </c>
      <c r="E118" s="32">
        <v>2500</v>
      </c>
      <c r="F118" s="20">
        <v>1268.1099999999999</v>
      </c>
      <c r="G118" s="11">
        <f t="shared" si="33"/>
        <v>0.50724399999999992</v>
      </c>
      <c r="H118" s="20">
        <v>1268.1099999999999</v>
      </c>
      <c r="I118" s="20">
        <v>0</v>
      </c>
      <c r="J118" s="11">
        <f t="shared" si="34"/>
        <v>0</v>
      </c>
      <c r="K118" s="24">
        <f>L118+T118+U118+AF118</f>
        <v>0</v>
      </c>
      <c r="L118" s="19">
        <f>SUM(M118:S118)</f>
        <v>0</v>
      </c>
      <c r="M118" s="19"/>
      <c r="N118" s="19"/>
      <c r="O118" s="19"/>
      <c r="P118" s="19"/>
      <c r="Q118" s="19"/>
      <c r="R118" s="19"/>
      <c r="S118" s="19"/>
      <c r="T118" s="19"/>
      <c r="U118" s="19">
        <f>SUM(V118:AE118)</f>
        <v>0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</row>
    <row r="119" spans="1:32" x14ac:dyDescent="0.2">
      <c r="A119" s="4"/>
      <c r="B119" s="31"/>
      <c r="C119" s="42" t="s">
        <v>128</v>
      </c>
      <c r="D119" s="134" t="s">
        <v>129</v>
      </c>
      <c r="E119" s="32">
        <v>12500</v>
      </c>
      <c r="F119" s="20">
        <v>10334.76</v>
      </c>
      <c r="G119" s="11">
        <f t="shared" si="33"/>
        <v>0.82678079999999998</v>
      </c>
      <c r="H119" s="20">
        <v>10334.76</v>
      </c>
      <c r="I119" s="20">
        <v>0</v>
      </c>
      <c r="J119" s="11">
        <f t="shared" si="34"/>
        <v>0</v>
      </c>
      <c r="K119" s="24">
        <f t="shared" ref="K119:K122" si="48">L119+T119+U119+AF119</f>
        <v>0</v>
      </c>
      <c r="L119" s="19">
        <f>SUM(M119:S119)</f>
        <v>0</v>
      </c>
      <c r="M119" s="19"/>
      <c r="N119" s="19"/>
      <c r="O119" s="19"/>
      <c r="P119" s="19"/>
      <c r="Q119" s="19"/>
      <c r="R119" s="19"/>
      <c r="S119" s="19"/>
      <c r="T119" s="19"/>
      <c r="U119" s="19">
        <f>SUM(V119:AE119)</f>
        <v>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</row>
    <row r="120" spans="1:32" x14ac:dyDescent="0.2">
      <c r="A120" s="4"/>
      <c r="B120" s="31"/>
      <c r="C120" s="42" t="s">
        <v>122</v>
      </c>
      <c r="D120" s="134" t="s">
        <v>123</v>
      </c>
      <c r="E120" s="32">
        <v>76307.78</v>
      </c>
      <c r="F120" s="20">
        <v>36908.61</v>
      </c>
      <c r="G120" s="11">
        <f t="shared" si="33"/>
        <v>0.48368082520550332</v>
      </c>
      <c r="H120" s="20">
        <f>F120/4*3</f>
        <v>27681.4575</v>
      </c>
      <c r="I120" s="20">
        <v>67600</v>
      </c>
      <c r="J120" s="11">
        <f t="shared" si="34"/>
        <v>0.88588607871962732</v>
      </c>
      <c r="K120" s="24">
        <f t="shared" si="48"/>
        <v>67600</v>
      </c>
      <c r="L120" s="19">
        <f>SUM(M120:S120)</f>
        <v>67600</v>
      </c>
      <c r="M120" s="19"/>
      <c r="N120" s="19"/>
      <c r="O120" s="101">
        <v>67600</v>
      </c>
      <c r="P120" s="19"/>
      <c r="Q120" s="55">
        <v>0</v>
      </c>
      <c r="R120" s="19"/>
      <c r="S120" s="19"/>
      <c r="T120" s="19"/>
      <c r="U120" s="19">
        <f>SUM(V120:AE120)</f>
        <v>0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</row>
    <row r="121" spans="1:32" x14ac:dyDescent="0.2">
      <c r="A121" s="4"/>
      <c r="B121" s="31"/>
      <c r="C121" s="42" t="s">
        <v>124</v>
      </c>
      <c r="D121" s="134" t="s">
        <v>125</v>
      </c>
      <c r="E121" s="32">
        <v>83500</v>
      </c>
      <c r="F121" s="20">
        <v>54408.02</v>
      </c>
      <c r="G121" s="11">
        <f t="shared" si="33"/>
        <v>0.65159305389221556</v>
      </c>
      <c r="H121" s="20">
        <v>83500</v>
      </c>
      <c r="I121" s="20">
        <v>83500</v>
      </c>
      <c r="J121" s="11">
        <f t="shared" si="34"/>
        <v>1</v>
      </c>
      <c r="K121" s="24">
        <f t="shared" si="48"/>
        <v>83500</v>
      </c>
      <c r="L121" s="19">
        <f>SUM(M121:S121)</f>
        <v>83500</v>
      </c>
      <c r="M121" s="19"/>
      <c r="N121" s="19"/>
      <c r="O121" s="101">
        <v>83500</v>
      </c>
      <c r="P121" s="19"/>
      <c r="Q121" s="55">
        <v>0</v>
      </c>
      <c r="R121" s="19"/>
      <c r="S121" s="19"/>
      <c r="T121" s="19"/>
      <c r="U121" s="19">
        <f>SUM(V121:AE121)</f>
        <v>0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</row>
    <row r="122" spans="1:32" hidden="1" x14ac:dyDescent="0.2">
      <c r="A122" s="4"/>
      <c r="B122" s="31"/>
      <c r="C122" s="42" t="s">
        <v>187</v>
      </c>
      <c r="D122" s="134" t="s">
        <v>188</v>
      </c>
      <c r="E122" s="32">
        <v>0</v>
      </c>
      <c r="F122" s="20">
        <v>0</v>
      </c>
      <c r="G122" s="11">
        <v>0</v>
      </c>
      <c r="H122" s="20">
        <v>0</v>
      </c>
      <c r="I122" s="20">
        <f t="shared" ref="I122" si="49">K122</f>
        <v>0</v>
      </c>
      <c r="J122" s="11">
        <v>0</v>
      </c>
      <c r="K122" s="24">
        <f t="shared" si="48"/>
        <v>0</v>
      </c>
      <c r="L122" s="19">
        <f>SUM(M122:S122)</f>
        <v>0</v>
      </c>
      <c r="M122" s="19"/>
      <c r="N122" s="19"/>
      <c r="O122" s="19"/>
      <c r="P122" s="19"/>
      <c r="Q122" s="19"/>
      <c r="R122" s="19"/>
      <c r="S122" s="19"/>
      <c r="T122" s="19"/>
      <c r="U122" s="19">
        <f>SUM(V122:AE122)</f>
        <v>0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</row>
    <row r="123" spans="1:32" ht="24" customHeight="1" x14ac:dyDescent="0.2">
      <c r="A123" s="3"/>
      <c r="B123" s="165" t="s">
        <v>199</v>
      </c>
      <c r="C123" s="166"/>
      <c r="D123" s="167" t="s">
        <v>200</v>
      </c>
      <c r="E123" s="168">
        <f>E124+E125+E126+E127+E128+E129+E130+E131+E132+E133+E134+E135+E136+E137+E138+E139+E140+E141</f>
        <v>1151778</v>
      </c>
      <c r="F123" s="168">
        <f>F124+F125+F126+F127+F128+F129+F130+F131+F132+F133+F134+F135+F136+F137+F138+F139+F140+F141</f>
        <v>839571.92999999993</v>
      </c>
      <c r="G123" s="170">
        <f t="shared" si="33"/>
        <v>0.72893555007996325</v>
      </c>
      <c r="H123" s="168">
        <f>H124+H125+H126+H127+H128+H129+H130+H131+H132+H133+H134+H135+H136+H137+H138+H139+H140+H141</f>
        <v>1105819.68</v>
      </c>
      <c r="I123" s="168">
        <f>I124+I125+I126+I127+I128+I129+I130+I131+I132+I133+I134+I135+I136+I137+I138+I139+I140+I141</f>
        <v>1240976</v>
      </c>
      <c r="J123" s="170">
        <f t="shared" si="34"/>
        <v>1.0774437434991813</v>
      </c>
      <c r="K123" s="109">
        <f t="shared" ref="K123:AF123" si="50">K124+K125+K126+K127+K128+K129+K130+K131+K132+K133+K134+K135+K136+K137+K138+K139+K140</f>
        <v>1151778</v>
      </c>
      <c r="L123" s="85">
        <f t="shared" si="50"/>
        <v>0</v>
      </c>
      <c r="M123" s="85">
        <f t="shared" si="50"/>
        <v>0</v>
      </c>
      <c r="N123" s="85">
        <f t="shared" si="50"/>
        <v>0</v>
      </c>
      <c r="O123" s="85"/>
      <c r="P123" s="85">
        <f t="shared" si="50"/>
        <v>0</v>
      </c>
      <c r="Q123" s="85">
        <f t="shared" si="50"/>
        <v>0</v>
      </c>
      <c r="R123" s="85">
        <f t="shared" si="50"/>
        <v>0</v>
      </c>
      <c r="S123" s="86">
        <f>S124+S125+S126+S127+S128+S129+S130+S131+S132+S133+S134+S135+S136+S137+S138+S139+S140</f>
        <v>0</v>
      </c>
      <c r="T123" s="85">
        <f t="shared" si="50"/>
        <v>0</v>
      </c>
      <c r="U123" s="85">
        <f t="shared" si="50"/>
        <v>1151778</v>
      </c>
      <c r="V123" s="85">
        <f t="shared" si="50"/>
        <v>0</v>
      </c>
      <c r="W123" s="85">
        <f t="shared" si="50"/>
        <v>0</v>
      </c>
      <c r="X123" s="85">
        <f t="shared" si="50"/>
        <v>0</v>
      </c>
      <c r="Y123" s="85">
        <f t="shared" si="50"/>
        <v>0</v>
      </c>
      <c r="Z123" s="85">
        <f t="shared" si="50"/>
        <v>0</v>
      </c>
      <c r="AA123" s="85">
        <f t="shared" si="50"/>
        <v>0</v>
      </c>
      <c r="AB123" s="85">
        <f t="shared" si="50"/>
        <v>0</v>
      </c>
      <c r="AC123" s="85">
        <f t="shared" si="50"/>
        <v>0</v>
      </c>
      <c r="AD123" s="85">
        <f t="shared" si="50"/>
        <v>0</v>
      </c>
      <c r="AE123" s="85">
        <f t="shared" si="50"/>
        <v>1153778</v>
      </c>
      <c r="AF123" s="85">
        <f t="shared" si="50"/>
        <v>0</v>
      </c>
    </row>
    <row r="124" spans="1:32" ht="22.5" x14ac:dyDescent="0.2">
      <c r="A124" s="4"/>
      <c r="B124" s="31"/>
      <c r="C124" s="42" t="s">
        <v>171</v>
      </c>
      <c r="D124" s="134" t="s">
        <v>172</v>
      </c>
      <c r="E124" s="32">
        <v>1900</v>
      </c>
      <c r="F124" s="20">
        <v>58.33</v>
      </c>
      <c r="G124" s="11">
        <f t="shared" si="33"/>
        <v>3.0699999999999998E-2</v>
      </c>
      <c r="H124" s="20">
        <v>1000</v>
      </c>
      <c r="I124" s="20">
        <v>1900</v>
      </c>
      <c r="J124" s="11">
        <f t="shared" si="34"/>
        <v>1</v>
      </c>
      <c r="K124" s="24">
        <f>L124+T124+U124+AF124</f>
        <v>1900</v>
      </c>
      <c r="L124" s="19">
        <f>SUM(M124:S124)</f>
        <v>0</v>
      </c>
      <c r="M124" s="19"/>
      <c r="N124" s="19"/>
      <c r="O124" s="19"/>
      <c r="P124" s="19"/>
      <c r="Q124" s="19"/>
      <c r="R124" s="19"/>
      <c r="S124" s="19"/>
      <c r="T124" s="19"/>
      <c r="U124" s="19">
        <f>SUM(V124:AE124)</f>
        <v>1900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55">
        <v>1900</v>
      </c>
      <c r="AF124" s="19"/>
    </row>
    <row r="125" spans="1:32" x14ac:dyDescent="0.2">
      <c r="A125" s="4"/>
      <c r="B125" s="31"/>
      <c r="C125" s="42" t="s">
        <v>116</v>
      </c>
      <c r="D125" s="134" t="s">
        <v>117</v>
      </c>
      <c r="E125" s="32">
        <v>781900</v>
      </c>
      <c r="F125" s="20">
        <v>581314.61</v>
      </c>
      <c r="G125" s="11">
        <f t="shared" si="33"/>
        <v>0.74346413863665428</v>
      </c>
      <c r="H125" s="32">
        <v>776000</v>
      </c>
      <c r="I125" s="20">
        <v>827808</v>
      </c>
      <c r="J125" s="11">
        <f t="shared" si="34"/>
        <v>1.0587133904591379</v>
      </c>
      <c r="K125" s="24">
        <f t="shared" ref="K125:K140" si="51">L125+T125+U125+AF125</f>
        <v>781900</v>
      </c>
      <c r="L125" s="19">
        <f t="shared" ref="L125:L140" si="52">SUM(M125:S125)</f>
        <v>0</v>
      </c>
      <c r="M125" s="19"/>
      <c r="N125" s="19"/>
      <c r="O125" s="19"/>
      <c r="P125" s="19"/>
      <c r="Q125" s="19"/>
      <c r="R125" s="19"/>
      <c r="S125" s="19"/>
      <c r="T125" s="19"/>
      <c r="U125" s="19">
        <f t="shared" ref="U125:U140" si="53">SUM(V125:AE125)</f>
        <v>781900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01">
        <v>781900</v>
      </c>
      <c r="AF125" s="19"/>
    </row>
    <row r="126" spans="1:32" x14ac:dyDescent="0.2">
      <c r="A126" s="4"/>
      <c r="B126" s="31"/>
      <c r="C126" s="42" t="s">
        <v>173</v>
      </c>
      <c r="D126" s="134" t="s">
        <v>174</v>
      </c>
      <c r="E126" s="32">
        <v>50280</v>
      </c>
      <c r="F126" s="20">
        <v>48626.95</v>
      </c>
      <c r="G126" s="11">
        <f t="shared" si="33"/>
        <v>0.96712311058074774</v>
      </c>
      <c r="H126" s="32">
        <v>50280</v>
      </c>
      <c r="I126" s="20">
        <v>60282</v>
      </c>
      <c r="J126" s="11">
        <f t="shared" si="34"/>
        <v>1.1989260143198091</v>
      </c>
      <c r="K126" s="24">
        <f t="shared" si="51"/>
        <v>50280</v>
      </c>
      <c r="L126" s="19">
        <f t="shared" si="52"/>
        <v>0</v>
      </c>
      <c r="M126" s="19"/>
      <c r="N126" s="19"/>
      <c r="O126" s="19"/>
      <c r="P126" s="19"/>
      <c r="Q126" s="19"/>
      <c r="R126" s="19"/>
      <c r="S126" s="19"/>
      <c r="T126" s="19"/>
      <c r="U126" s="19">
        <f t="shared" si="53"/>
        <v>50280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55">
        <v>50280</v>
      </c>
      <c r="AF126" s="19"/>
    </row>
    <row r="127" spans="1:32" x14ac:dyDescent="0.2">
      <c r="A127" s="4"/>
      <c r="B127" s="31"/>
      <c r="C127" s="42" t="s">
        <v>118</v>
      </c>
      <c r="D127" s="134" t="s">
        <v>119</v>
      </c>
      <c r="E127" s="32">
        <v>131000</v>
      </c>
      <c r="F127" s="20">
        <v>91785.23</v>
      </c>
      <c r="G127" s="11">
        <f t="shared" si="33"/>
        <v>0.70065061068702283</v>
      </c>
      <c r="H127" s="32">
        <v>122380</v>
      </c>
      <c r="I127" s="20">
        <v>147255</v>
      </c>
      <c r="J127" s="11">
        <f t="shared" si="34"/>
        <v>1.1240839694656488</v>
      </c>
      <c r="K127" s="24">
        <f t="shared" si="51"/>
        <v>131000</v>
      </c>
      <c r="L127" s="19">
        <f t="shared" si="52"/>
        <v>0</v>
      </c>
      <c r="M127" s="19"/>
      <c r="N127" s="19"/>
      <c r="O127" s="19"/>
      <c r="P127" s="19"/>
      <c r="Q127" s="19"/>
      <c r="R127" s="19"/>
      <c r="S127" s="19"/>
      <c r="T127" s="19"/>
      <c r="U127" s="19">
        <f t="shared" si="53"/>
        <v>131000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55">
        <v>131000</v>
      </c>
      <c r="AF127" s="19"/>
    </row>
    <row r="128" spans="1:32" x14ac:dyDescent="0.2">
      <c r="A128" s="4"/>
      <c r="B128" s="31"/>
      <c r="C128" s="42" t="s">
        <v>120</v>
      </c>
      <c r="D128" s="134" t="s">
        <v>121</v>
      </c>
      <c r="E128" s="32">
        <v>20190</v>
      </c>
      <c r="F128" s="20">
        <v>8391</v>
      </c>
      <c r="G128" s="11">
        <f t="shared" si="33"/>
        <v>0.41560178306092127</v>
      </c>
      <c r="H128" s="32">
        <v>11188</v>
      </c>
      <c r="I128" s="20">
        <v>21310</v>
      </c>
      <c r="J128" s="11">
        <f t="shared" si="34"/>
        <v>1.0554730064388311</v>
      </c>
      <c r="K128" s="24">
        <f t="shared" si="51"/>
        <v>20190</v>
      </c>
      <c r="L128" s="19">
        <f t="shared" si="52"/>
        <v>0</v>
      </c>
      <c r="M128" s="19"/>
      <c r="N128" s="19"/>
      <c r="O128" s="19"/>
      <c r="P128" s="19"/>
      <c r="Q128" s="19"/>
      <c r="R128" s="19"/>
      <c r="S128" s="19"/>
      <c r="T128" s="19"/>
      <c r="U128" s="19">
        <f t="shared" si="53"/>
        <v>20190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55">
        <v>20190</v>
      </c>
      <c r="AF128" s="19"/>
    </row>
    <row r="129" spans="1:32" x14ac:dyDescent="0.2">
      <c r="A129" s="4"/>
      <c r="B129" s="31"/>
      <c r="C129" s="42" t="s">
        <v>128</v>
      </c>
      <c r="D129" s="134" t="s">
        <v>129</v>
      </c>
      <c r="E129" s="32">
        <v>4000</v>
      </c>
      <c r="F129" s="20">
        <v>2000</v>
      </c>
      <c r="G129" s="11">
        <f t="shared" si="33"/>
        <v>0.5</v>
      </c>
      <c r="H129" s="32">
        <v>2700</v>
      </c>
      <c r="I129" s="20">
        <v>4000</v>
      </c>
      <c r="J129" s="11">
        <f t="shared" si="34"/>
        <v>1</v>
      </c>
      <c r="K129" s="24">
        <f t="shared" si="51"/>
        <v>4000</v>
      </c>
      <c r="L129" s="19">
        <f t="shared" si="52"/>
        <v>0</v>
      </c>
      <c r="M129" s="19"/>
      <c r="N129" s="19"/>
      <c r="O129" s="19"/>
      <c r="P129" s="19"/>
      <c r="Q129" s="19"/>
      <c r="R129" s="19"/>
      <c r="S129" s="19"/>
      <c r="T129" s="19"/>
      <c r="U129" s="19">
        <f t="shared" si="53"/>
        <v>4000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55">
        <v>4000</v>
      </c>
      <c r="AF129" s="19"/>
    </row>
    <row r="130" spans="1:32" x14ac:dyDescent="0.2">
      <c r="A130" s="4"/>
      <c r="B130" s="31"/>
      <c r="C130" s="42" t="s">
        <v>122</v>
      </c>
      <c r="D130" s="134" t="s">
        <v>123</v>
      </c>
      <c r="E130" s="32">
        <v>40000</v>
      </c>
      <c r="F130" s="20">
        <v>12650.17</v>
      </c>
      <c r="G130" s="11">
        <f t="shared" si="33"/>
        <v>0.31625425000000001</v>
      </c>
      <c r="H130" s="20">
        <v>30000</v>
      </c>
      <c r="I130" s="20">
        <v>30500</v>
      </c>
      <c r="J130" s="11">
        <f t="shared" si="34"/>
        <v>0.76249999999999996</v>
      </c>
      <c r="K130" s="24">
        <f t="shared" si="51"/>
        <v>40000</v>
      </c>
      <c r="L130" s="19">
        <f t="shared" si="52"/>
        <v>0</v>
      </c>
      <c r="M130" s="19"/>
      <c r="N130" s="19"/>
      <c r="O130" s="19"/>
      <c r="P130" s="19"/>
      <c r="Q130" s="19"/>
      <c r="R130" s="19"/>
      <c r="S130" s="19"/>
      <c r="T130" s="19"/>
      <c r="U130" s="19">
        <v>40000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01">
        <v>42000</v>
      </c>
      <c r="AF130" s="19"/>
    </row>
    <row r="131" spans="1:32" x14ac:dyDescent="0.2">
      <c r="A131" s="4"/>
      <c r="B131" s="31"/>
      <c r="C131" s="42" t="s">
        <v>130</v>
      </c>
      <c r="D131" s="134" t="s">
        <v>131</v>
      </c>
      <c r="E131" s="32">
        <v>5000</v>
      </c>
      <c r="F131" s="20">
        <v>1622.03</v>
      </c>
      <c r="G131" s="11">
        <f t="shared" si="33"/>
        <v>0.32440599999999997</v>
      </c>
      <c r="H131" s="20">
        <v>2200</v>
      </c>
      <c r="I131" s="20">
        <v>5000</v>
      </c>
      <c r="J131" s="11">
        <f t="shared" si="34"/>
        <v>1</v>
      </c>
      <c r="K131" s="24">
        <f t="shared" si="51"/>
        <v>5000</v>
      </c>
      <c r="L131" s="19">
        <f t="shared" si="52"/>
        <v>0</v>
      </c>
      <c r="M131" s="19"/>
      <c r="N131" s="19"/>
      <c r="O131" s="19"/>
      <c r="P131" s="19"/>
      <c r="Q131" s="19"/>
      <c r="R131" s="19"/>
      <c r="S131" s="19"/>
      <c r="T131" s="19"/>
      <c r="U131" s="19">
        <f t="shared" si="53"/>
        <v>5000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55">
        <v>5000</v>
      </c>
      <c r="AF131" s="19"/>
    </row>
    <row r="132" spans="1:32" x14ac:dyDescent="0.2">
      <c r="A132" s="4"/>
      <c r="B132" s="31"/>
      <c r="C132" s="42" t="s">
        <v>140</v>
      </c>
      <c r="D132" s="134" t="s">
        <v>141</v>
      </c>
      <c r="E132" s="32">
        <v>7500</v>
      </c>
      <c r="F132" s="20">
        <v>2583</v>
      </c>
      <c r="G132" s="11">
        <v>0</v>
      </c>
      <c r="H132" s="20">
        <v>3500</v>
      </c>
      <c r="I132" s="20">
        <v>8000</v>
      </c>
      <c r="J132" s="11">
        <v>0</v>
      </c>
      <c r="K132" s="24">
        <f t="shared" si="51"/>
        <v>4000</v>
      </c>
      <c r="L132" s="19">
        <f t="shared" si="52"/>
        <v>0</v>
      </c>
      <c r="M132" s="19"/>
      <c r="N132" s="19"/>
      <c r="O132" s="19"/>
      <c r="P132" s="19"/>
      <c r="Q132" s="19"/>
      <c r="R132" s="19"/>
      <c r="S132" s="19"/>
      <c r="T132" s="19"/>
      <c r="U132" s="19">
        <f t="shared" si="53"/>
        <v>4000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55">
        <v>4000</v>
      </c>
      <c r="AF132" s="19"/>
    </row>
    <row r="133" spans="1:32" x14ac:dyDescent="0.2">
      <c r="A133" s="4"/>
      <c r="B133" s="31"/>
      <c r="C133" s="42" t="s">
        <v>185</v>
      </c>
      <c r="D133" s="134" t="s">
        <v>186</v>
      </c>
      <c r="E133" s="32">
        <v>2000</v>
      </c>
      <c r="F133" s="20">
        <v>1400</v>
      </c>
      <c r="G133" s="11">
        <f t="shared" si="33"/>
        <v>0.7</v>
      </c>
      <c r="H133" s="20">
        <v>2000</v>
      </c>
      <c r="I133" s="20">
        <v>2000</v>
      </c>
      <c r="J133" s="11">
        <f t="shared" si="34"/>
        <v>1</v>
      </c>
      <c r="K133" s="24">
        <f t="shared" si="51"/>
        <v>2000</v>
      </c>
      <c r="L133" s="19">
        <f t="shared" si="52"/>
        <v>0</v>
      </c>
      <c r="M133" s="19"/>
      <c r="N133" s="19"/>
      <c r="O133" s="19"/>
      <c r="P133" s="19"/>
      <c r="Q133" s="19"/>
      <c r="R133" s="19"/>
      <c r="S133" s="19"/>
      <c r="T133" s="19"/>
      <c r="U133" s="19">
        <f t="shared" si="53"/>
        <v>2000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55">
        <v>2000</v>
      </c>
      <c r="AF133" s="19"/>
    </row>
    <row r="134" spans="1:32" x14ac:dyDescent="0.2">
      <c r="A134" s="4"/>
      <c r="B134" s="31"/>
      <c r="C134" s="42" t="s">
        <v>124</v>
      </c>
      <c r="D134" s="134" t="s">
        <v>125</v>
      </c>
      <c r="E134" s="32">
        <v>43047</v>
      </c>
      <c r="F134" s="20">
        <v>38664.74</v>
      </c>
      <c r="G134" s="11">
        <f t="shared" si="33"/>
        <v>0.89819824842613882</v>
      </c>
      <c r="H134" s="20">
        <v>43047</v>
      </c>
      <c r="I134" s="20">
        <v>43600</v>
      </c>
      <c r="J134" s="11">
        <f t="shared" si="34"/>
        <v>1.0128464236764467</v>
      </c>
      <c r="K134" s="24">
        <f t="shared" si="51"/>
        <v>43047</v>
      </c>
      <c r="L134" s="19">
        <f t="shared" si="52"/>
        <v>0</v>
      </c>
      <c r="M134" s="19"/>
      <c r="N134" s="19"/>
      <c r="O134" s="19"/>
      <c r="P134" s="19"/>
      <c r="Q134" s="19"/>
      <c r="R134" s="19"/>
      <c r="S134" s="19"/>
      <c r="T134" s="19"/>
      <c r="U134" s="19">
        <f t="shared" si="53"/>
        <v>43047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01">
        <v>43047</v>
      </c>
      <c r="AF134" s="19"/>
    </row>
    <row r="135" spans="1:32" ht="22.5" x14ac:dyDescent="0.2">
      <c r="A135" s="4"/>
      <c r="B135" s="31"/>
      <c r="C135" s="42" t="s">
        <v>147</v>
      </c>
      <c r="D135" s="134" t="s">
        <v>148</v>
      </c>
      <c r="E135" s="32">
        <v>3500</v>
      </c>
      <c r="F135" s="20">
        <v>2167.09</v>
      </c>
      <c r="G135" s="11">
        <f t="shared" si="33"/>
        <v>0.61916857142857151</v>
      </c>
      <c r="H135" s="20">
        <v>2900</v>
      </c>
      <c r="I135" s="20">
        <v>3500</v>
      </c>
      <c r="J135" s="11">
        <f t="shared" si="34"/>
        <v>1</v>
      </c>
      <c r="K135" s="24">
        <f t="shared" si="51"/>
        <v>3500</v>
      </c>
      <c r="L135" s="19">
        <f t="shared" si="52"/>
        <v>0</v>
      </c>
      <c r="M135" s="19"/>
      <c r="N135" s="19"/>
      <c r="O135" s="19"/>
      <c r="P135" s="19"/>
      <c r="Q135" s="19"/>
      <c r="R135" s="19"/>
      <c r="S135" s="19"/>
      <c r="T135" s="19"/>
      <c r="U135" s="19">
        <f t="shared" si="53"/>
        <v>3500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55">
        <v>3500</v>
      </c>
      <c r="AF135" s="19"/>
    </row>
    <row r="136" spans="1:32" ht="22.5" x14ac:dyDescent="0.2">
      <c r="A136" s="4"/>
      <c r="B136" s="31"/>
      <c r="C136" s="42" t="s">
        <v>189</v>
      </c>
      <c r="D136" s="134" t="s">
        <v>190</v>
      </c>
      <c r="E136" s="32">
        <v>36000</v>
      </c>
      <c r="F136" s="20">
        <v>27000</v>
      </c>
      <c r="G136" s="11">
        <f t="shared" si="33"/>
        <v>0.75</v>
      </c>
      <c r="H136" s="20">
        <v>36000</v>
      </c>
      <c r="I136" s="20">
        <v>42000</v>
      </c>
      <c r="J136" s="11">
        <f t="shared" si="34"/>
        <v>1.1666666666666667</v>
      </c>
      <c r="K136" s="24">
        <f t="shared" si="51"/>
        <v>36000</v>
      </c>
      <c r="L136" s="19">
        <f t="shared" si="52"/>
        <v>0</v>
      </c>
      <c r="M136" s="19"/>
      <c r="N136" s="19"/>
      <c r="O136" s="19"/>
      <c r="P136" s="19"/>
      <c r="Q136" s="19"/>
      <c r="R136" s="19"/>
      <c r="S136" s="19"/>
      <c r="T136" s="19"/>
      <c r="U136" s="19">
        <f t="shared" si="53"/>
        <v>36000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55">
        <v>36000</v>
      </c>
      <c r="AF136" s="19"/>
    </row>
    <row r="137" spans="1:32" x14ac:dyDescent="0.2">
      <c r="A137" s="4"/>
      <c r="B137" s="31"/>
      <c r="C137" s="42" t="s">
        <v>191</v>
      </c>
      <c r="D137" s="134" t="s">
        <v>192</v>
      </c>
      <c r="E137" s="32">
        <v>5000</v>
      </c>
      <c r="F137" s="20">
        <v>1613.43</v>
      </c>
      <c r="G137" s="11">
        <f t="shared" si="33"/>
        <v>0.32268600000000003</v>
      </c>
      <c r="H137" s="20">
        <v>2500</v>
      </c>
      <c r="I137" s="20">
        <v>5000</v>
      </c>
      <c r="J137" s="11">
        <f t="shared" si="34"/>
        <v>1</v>
      </c>
      <c r="K137" s="24">
        <f t="shared" si="51"/>
        <v>5000</v>
      </c>
      <c r="L137" s="19">
        <f t="shared" si="52"/>
        <v>0</v>
      </c>
      <c r="M137" s="19"/>
      <c r="N137" s="19"/>
      <c r="O137" s="19"/>
      <c r="P137" s="19"/>
      <c r="Q137" s="19"/>
      <c r="R137" s="19"/>
      <c r="S137" s="19"/>
      <c r="T137" s="19"/>
      <c r="U137" s="19">
        <f t="shared" si="53"/>
        <v>5000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55">
        <v>5000</v>
      </c>
      <c r="AF137" s="19"/>
    </row>
    <row r="138" spans="1:32" x14ac:dyDescent="0.2">
      <c r="A138" s="4"/>
      <c r="B138" s="31"/>
      <c r="C138" s="42" t="s">
        <v>126</v>
      </c>
      <c r="D138" s="134" t="s">
        <v>127</v>
      </c>
      <c r="E138" s="32">
        <v>500</v>
      </c>
      <c r="F138" s="20">
        <v>122.75</v>
      </c>
      <c r="G138" s="11">
        <f t="shared" si="33"/>
        <v>0.2455</v>
      </c>
      <c r="H138" s="20">
        <v>163.68</v>
      </c>
      <c r="I138" s="20">
        <v>500</v>
      </c>
      <c r="J138" s="11">
        <f t="shared" si="34"/>
        <v>1</v>
      </c>
      <c r="K138" s="24">
        <f t="shared" si="51"/>
        <v>500</v>
      </c>
      <c r="L138" s="19">
        <f t="shared" si="52"/>
        <v>0</v>
      </c>
      <c r="M138" s="19"/>
      <c r="N138" s="19"/>
      <c r="O138" s="19"/>
      <c r="P138" s="19"/>
      <c r="Q138" s="19"/>
      <c r="R138" s="19"/>
      <c r="S138" s="19"/>
      <c r="T138" s="19"/>
      <c r="U138" s="19">
        <f t="shared" si="53"/>
        <v>500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55">
        <v>500</v>
      </c>
      <c r="AF138" s="19"/>
    </row>
    <row r="139" spans="1:32" ht="22.5" x14ac:dyDescent="0.2">
      <c r="A139" s="4"/>
      <c r="B139" s="31"/>
      <c r="C139" s="42" t="s">
        <v>193</v>
      </c>
      <c r="D139" s="134" t="s">
        <v>194</v>
      </c>
      <c r="E139" s="32">
        <v>18461</v>
      </c>
      <c r="F139" s="20">
        <v>18461</v>
      </c>
      <c r="G139" s="11">
        <f t="shared" si="33"/>
        <v>1</v>
      </c>
      <c r="H139" s="20">
        <v>18461</v>
      </c>
      <c r="I139" s="20">
        <v>23536</v>
      </c>
      <c r="J139" s="11">
        <f t="shared" si="34"/>
        <v>1.2749038513623314</v>
      </c>
      <c r="K139" s="24">
        <f t="shared" si="51"/>
        <v>18461</v>
      </c>
      <c r="L139" s="19">
        <f t="shared" si="52"/>
        <v>0</v>
      </c>
      <c r="M139" s="19"/>
      <c r="N139" s="19"/>
      <c r="O139" s="19"/>
      <c r="P139" s="19"/>
      <c r="Q139" s="19"/>
      <c r="R139" s="19"/>
      <c r="S139" s="19"/>
      <c r="T139" s="19"/>
      <c r="U139" s="19">
        <f t="shared" si="53"/>
        <v>18461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55">
        <v>18461</v>
      </c>
      <c r="AF139" s="19"/>
    </row>
    <row r="140" spans="1:32" ht="22.5" x14ac:dyDescent="0.2">
      <c r="A140" s="4"/>
      <c r="B140" s="31"/>
      <c r="C140" s="42" t="s">
        <v>195</v>
      </c>
      <c r="D140" s="134" t="s">
        <v>196</v>
      </c>
      <c r="E140" s="32">
        <v>1500</v>
      </c>
      <c r="F140" s="20">
        <v>1111.5999999999999</v>
      </c>
      <c r="G140" s="11">
        <f t="shared" si="33"/>
        <v>0.74106666666666665</v>
      </c>
      <c r="H140" s="20">
        <v>1500</v>
      </c>
      <c r="I140" s="20">
        <v>5000</v>
      </c>
      <c r="J140" s="11">
        <f t="shared" si="34"/>
        <v>3.3333333333333335</v>
      </c>
      <c r="K140" s="24">
        <f t="shared" si="51"/>
        <v>5000</v>
      </c>
      <c r="L140" s="19">
        <f t="shared" si="52"/>
        <v>0</v>
      </c>
      <c r="M140" s="19"/>
      <c r="N140" s="19"/>
      <c r="O140" s="19"/>
      <c r="P140" s="19"/>
      <c r="Q140" s="19"/>
      <c r="R140" s="19"/>
      <c r="S140" s="19"/>
      <c r="T140" s="19"/>
      <c r="U140" s="19">
        <f t="shared" si="53"/>
        <v>5000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55">
        <v>5000</v>
      </c>
      <c r="AF140" s="19"/>
    </row>
    <row r="141" spans="1:32" ht="22.5" x14ac:dyDescent="0.2">
      <c r="A141" s="4"/>
      <c r="B141" s="31"/>
      <c r="C141" s="33" t="s">
        <v>380</v>
      </c>
      <c r="D141" s="34" t="s">
        <v>382</v>
      </c>
      <c r="E141" s="32">
        <v>0</v>
      </c>
      <c r="F141" s="20">
        <v>0</v>
      </c>
      <c r="G141" s="11">
        <v>0</v>
      </c>
      <c r="H141" s="20">
        <v>0</v>
      </c>
      <c r="I141" s="20">
        <v>9785</v>
      </c>
      <c r="J141" s="11">
        <v>0</v>
      </c>
      <c r="K141" s="24"/>
      <c r="L141" s="52"/>
      <c r="M141" s="52"/>
      <c r="N141" s="52"/>
      <c r="O141" s="52"/>
      <c r="P141" s="52"/>
      <c r="Q141" s="52"/>
      <c r="R141" s="52"/>
      <c r="S141" s="53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179"/>
      <c r="AF141" s="52"/>
    </row>
    <row r="142" spans="1:32" ht="15.75" x14ac:dyDescent="0.2">
      <c r="A142" s="3"/>
      <c r="B142" s="165" t="s">
        <v>201</v>
      </c>
      <c r="C142" s="166"/>
      <c r="D142" s="167" t="s">
        <v>10</v>
      </c>
      <c r="E142" s="168">
        <f>E143+E144+E147+E145+E146</f>
        <v>362968</v>
      </c>
      <c r="F142" s="168">
        <f>F143+F144+F147+F145+F146</f>
        <v>272177.65999999997</v>
      </c>
      <c r="G142" s="170">
        <f t="shared" ref="G142:G204" si="54">F142/E142</f>
        <v>0.74986682021555617</v>
      </c>
      <c r="H142" s="168">
        <f>H143+H144+H147+H145+H146</f>
        <v>351448</v>
      </c>
      <c r="I142" s="168">
        <f>I143+I144+I147+I145+I146</f>
        <v>243640</v>
      </c>
      <c r="J142" s="170">
        <f t="shared" ref="J142:J204" si="55">I142/E142</f>
        <v>0.67124374600515746</v>
      </c>
      <c r="K142" s="109">
        <f t="shared" ref="K142:AF142" si="56">K143+K144+K147</f>
        <v>233968</v>
      </c>
      <c r="L142" s="85">
        <f t="shared" si="56"/>
        <v>233968</v>
      </c>
      <c r="M142" s="85">
        <f t="shared" si="56"/>
        <v>0</v>
      </c>
      <c r="N142" s="85">
        <f t="shared" si="56"/>
        <v>0</v>
      </c>
      <c r="O142" s="85"/>
      <c r="P142" s="85">
        <f t="shared" si="56"/>
        <v>130968</v>
      </c>
      <c r="Q142" s="85">
        <f t="shared" si="56"/>
        <v>103000</v>
      </c>
      <c r="R142" s="85">
        <f t="shared" si="56"/>
        <v>0</v>
      </c>
      <c r="S142" s="86">
        <f>S143+S144+S147</f>
        <v>0</v>
      </c>
      <c r="T142" s="85">
        <f t="shared" si="56"/>
        <v>0</v>
      </c>
      <c r="U142" s="85">
        <f t="shared" si="56"/>
        <v>0</v>
      </c>
      <c r="V142" s="85">
        <f t="shared" si="56"/>
        <v>0</v>
      </c>
      <c r="W142" s="85">
        <f t="shared" si="56"/>
        <v>0</v>
      </c>
      <c r="X142" s="85">
        <f t="shared" si="56"/>
        <v>0</v>
      </c>
      <c r="Y142" s="85">
        <f t="shared" si="56"/>
        <v>0</v>
      </c>
      <c r="Z142" s="85">
        <f t="shared" si="56"/>
        <v>0</v>
      </c>
      <c r="AA142" s="85">
        <f t="shared" si="56"/>
        <v>0</v>
      </c>
      <c r="AB142" s="85">
        <f t="shared" si="56"/>
        <v>0</v>
      </c>
      <c r="AC142" s="85">
        <f t="shared" si="56"/>
        <v>0</v>
      </c>
      <c r="AD142" s="85">
        <f t="shared" si="56"/>
        <v>0</v>
      </c>
      <c r="AE142" s="85">
        <f t="shared" si="56"/>
        <v>0</v>
      </c>
      <c r="AF142" s="85">
        <f t="shared" si="56"/>
        <v>0</v>
      </c>
    </row>
    <row r="143" spans="1:32" ht="22.5" x14ac:dyDescent="0.2">
      <c r="A143" s="4"/>
      <c r="B143" s="31"/>
      <c r="C143" s="42" t="s">
        <v>177</v>
      </c>
      <c r="D143" s="134" t="s">
        <v>178</v>
      </c>
      <c r="E143" s="32">
        <v>129948</v>
      </c>
      <c r="F143" s="20">
        <v>109395</v>
      </c>
      <c r="G143" s="11">
        <f t="shared" si="54"/>
        <v>0.84183673469387754</v>
      </c>
      <c r="H143" s="20">
        <v>129948</v>
      </c>
      <c r="I143" s="20">
        <v>164640</v>
      </c>
      <c r="J143" s="11">
        <f t="shared" si="55"/>
        <v>1.2669683257918551</v>
      </c>
      <c r="K143" s="24">
        <f>L143+T143+U143+AF143</f>
        <v>129948</v>
      </c>
      <c r="L143" s="19">
        <f>SUM(M143:S143)</f>
        <v>129948</v>
      </c>
      <c r="M143" s="19"/>
      <c r="N143" s="19"/>
      <c r="O143" s="19"/>
      <c r="P143" s="55">
        <v>129948</v>
      </c>
      <c r="Q143" s="19"/>
      <c r="R143" s="19"/>
      <c r="S143" s="19"/>
      <c r="T143" s="19"/>
      <c r="U143" s="19">
        <f>SUM(V143:AE143)</f>
        <v>0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</row>
    <row r="144" spans="1:32" x14ac:dyDescent="0.2">
      <c r="A144" s="4"/>
      <c r="B144" s="31"/>
      <c r="C144" s="42" t="s">
        <v>202</v>
      </c>
      <c r="D144" s="134" t="s">
        <v>203</v>
      </c>
      <c r="E144" s="32">
        <v>3000</v>
      </c>
      <c r="F144" s="20">
        <v>1003</v>
      </c>
      <c r="G144" s="11">
        <f t="shared" si="54"/>
        <v>0.33433333333333332</v>
      </c>
      <c r="H144" s="20">
        <v>1500</v>
      </c>
      <c r="I144" s="20">
        <v>79000</v>
      </c>
      <c r="J144" s="11">
        <f t="shared" si="55"/>
        <v>26.333333333333332</v>
      </c>
      <c r="K144" s="24">
        <f t="shared" ref="K144:K147" si="57">L144+T144+U144+AF144</f>
        <v>3000</v>
      </c>
      <c r="L144" s="19">
        <f>SUM(M144:S144)</f>
        <v>3000</v>
      </c>
      <c r="M144" s="19"/>
      <c r="N144" s="19"/>
      <c r="O144" s="19"/>
      <c r="P144" s="19"/>
      <c r="Q144" s="99">
        <v>3000</v>
      </c>
      <c r="R144" s="19"/>
      <c r="S144" s="19"/>
      <c r="T144" s="19"/>
      <c r="U144" s="19">
        <f>SUM(V144:AE144)</f>
        <v>0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</row>
    <row r="145" spans="1:32" x14ac:dyDescent="0.2">
      <c r="A145" s="4"/>
      <c r="B145" s="31"/>
      <c r="C145" s="33" t="s">
        <v>122</v>
      </c>
      <c r="D145" s="34" t="s">
        <v>123</v>
      </c>
      <c r="E145" s="32">
        <v>91000</v>
      </c>
      <c r="F145" s="20">
        <v>75839.8</v>
      </c>
      <c r="G145" s="11">
        <f t="shared" si="54"/>
        <v>0.83340439560439561</v>
      </c>
      <c r="H145" s="20">
        <v>91000</v>
      </c>
      <c r="I145" s="20">
        <v>0</v>
      </c>
      <c r="J145" s="11">
        <f t="shared" si="55"/>
        <v>0</v>
      </c>
      <c r="K145" s="24"/>
      <c r="L145" s="19"/>
      <c r="M145" s="19"/>
      <c r="N145" s="19"/>
      <c r="O145" s="19"/>
      <c r="P145" s="19"/>
      <c r="Q145" s="9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</row>
    <row r="146" spans="1:32" x14ac:dyDescent="0.2">
      <c r="A146" s="4"/>
      <c r="B146" s="31"/>
      <c r="C146" s="33" t="s">
        <v>124</v>
      </c>
      <c r="D146" s="34" t="s">
        <v>125</v>
      </c>
      <c r="E146" s="32">
        <v>9000</v>
      </c>
      <c r="F146" s="20">
        <v>7292.18</v>
      </c>
      <c r="G146" s="11">
        <f t="shared" si="54"/>
        <v>0.81024222222222231</v>
      </c>
      <c r="H146" s="20">
        <v>9000</v>
      </c>
      <c r="I146" s="20">
        <v>0</v>
      </c>
      <c r="J146" s="11">
        <f t="shared" si="55"/>
        <v>0</v>
      </c>
      <c r="K146" s="24"/>
      <c r="L146" s="19"/>
      <c r="M146" s="19"/>
      <c r="N146" s="19"/>
      <c r="O146" s="19"/>
      <c r="P146" s="19"/>
      <c r="Q146" s="9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</row>
    <row r="147" spans="1:32" x14ac:dyDescent="0.2">
      <c r="A147" s="4"/>
      <c r="B147" s="31"/>
      <c r="C147" s="42" t="s">
        <v>126</v>
      </c>
      <c r="D147" s="134" t="s">
        <v>127</v>
      </c>
      <c r="E147" s="32">
        <v>130020</v>
      </c>
      <c r="F147" s="20">
        <v>78647.679999999993</v>
      </c>
      <c r="G147" s="11">
        <f t="shared" si="54"/>
        <v>0.60488909398554058</v>
      </c>
      <c r="H147" s="20">
        <v>120000</v>
      </c>
      <c r="I147" s="20">
        <v>0</v>
      </c>
      <c r="J147" s="11">
        <f t="shared" si="55"/>
        <v>0</v>
      </c>
      <c r="K147" s="24">
        <f t="shared" si="57"/>
        <v>101020</v>
      </c>
      <c r="L147" s="19">
        <f>SUM(M147:S147)</f>
        <v>101020</v>
      </c>
      <c r="M147" s="19"/>
      <c r="N147" s="19"/>
      <c r="O147" s="19"/>
      <c r="P147" s="55">
        <v>1020</v>
      </c>
      <c r="Q147" s="99">
        <v>100000</v>
      </c>
      <c r="R147" s="19"/>
      <c r="S147" s="19"/>
      <c r="T147" s="19"/>
      <c r="U147" s="19">
        <f>SUM(V147:AE147)</f>
        <v>0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</row>
    <row r="148" spans="1:32" ht="42.75" customHeight="1" x14ac:dyDescent="0.2">
      <c r="A148" s="155" t="s">
        <v>30</v>
      </c>
      <c r="B148" s="156"/>
      <c r="C148" s="157"/>
      <c r="D148" s="158" t="s">
        <v>31</v>
      </c>
      <c r="E148" s="159">
        <f>E149+E153</f>
        <v>151025.99999999997</v>
      </c>
      <c r="F148" s="159">
        <f>F149+F153</f>
        <v>149449.99999999997</v>
      </c>
      <c r="G148" s="87">
        <f t="shared" si="54"/>
        <v>0.98956471071206287</v>
      </c>
      <c r="H148" s="159">
        <f>H149+H153</f>
        <v>150325.99999999997</v>
      </c>
      <c r="I148" s="159">
        <f>I149+I153</f>
        <v>3468</v>
      </c>
      <c r="J148" s="87">
        <f t="shared" si="55"/>
        <v>2.296293353462318E-2</v>
      </c>
      <c r="K148" s="108">
        <f t="shared" ref="K148:AF148" si="58">K149+K153</f>
        <v>3507</v>
      </c>
      <c r="L148" s="12">
        <f t="shared" si="58"/>
        <v>3507</v>
      </c>
      <c r="M148" s="12">
        <f t="shared" si="58"/>
        <v>0</v>
      </c>
      <c r="N148" s="12">
        <f t="shared" si="58"/>
        <v>0</v>
      </c>
      <c r="O148" s="12"/>
      <c r="P148" s="12">
        <f t="shared" si="58"/>
        <v>0</v>
      </c>
      <c r="Q148" s="12">
        <f t="shared" si="58"/>
        <v>3507</v>
      </c>
      <c r="R148" s="12">
        <f t="shared" si="58"/>
        <v>0</v>
      </c>
      <c r="S148" s="16">
        <f>S149+S153</f>
        <v>0</v>
      </c>
      <c r="T148" s="12">
        <f t="shared" si="58"/>
        <v>0</v>
      </c>
      <c r="U148" s="12">
        <f t="shared" si="58"/>
        <v>0</v>
      </c>
      <c r="V148" s="12">
        <f t="shared" si="58"/>
        <v>0</v>
      </c>
      <c r="W148" s="12">
        <f t="shared" si="58"/>
        <v>0</v>
      </c>
      <c r="X148" s="12">
        <f t="shared" si="58"/>
        <v>0</v>
      </c>
      <c r="Y148" s="12">
        <f t="shared" si="58"/>
        <v>0</v>
      </c>
      <c r="Z148" s="12">
        <f t="shared" si="58"/>
        <v>0</v>
      </c>
      <c r="AA148" s="12">
        <f t="shared" si="58"/>
        <v>0</v>
      </c>
      <c r="AB148" s="12">
        <f t="shared" si="58"/>
        <v>0</v>
      </c>
      <c r="AC148" s="12">
        <f t="shared" si="58"/>
        <v>0</v>
      </c>
      <c r="AD148" s="12">
        <f t="shared" si="58"/>
        <v>0</v>
      </c>
      <c r="AE148" s="12">
        <f t="shared" si="58"/>
        <v>0</v>
      </c>
      <c r="AF148" s="12">
        <f t="shared" si="58"/>
        <v>0</v>
      </c>
    </row>
    <row r="149" spans="1:32" ht="33.75" x14ac:dyDescent="0.2">
      <c r="A149" s="3"/>
      <c r="B149" s="165" t="s">
        <v>32</v>
      </c>
      <c r="C149" s="166"/>
      <c r="D149" s="167" t="s">
        <v>33</v>
      </c>
      <c r="E149" s="168">
        <f>E150+E151+E152</f>
        <v>3507</v>
      </c>
      <c r="F149" s="168">
        <f t="shared" ref="F149:AF149" si="59">F150+F151+F152</f>
        <v>2631</v>
      </c>
      <c r="G149" s="170">
        <f t="shared" si="54"/>
        <v>0.7502138579982891</v>
      </c>
      <c r="H149" s="168">
        <f t="shared" si="59"/>
        <v>3507</v>
      </c>
      <c r="I149" s="168">
        <f t="shared" si="59"/>
        <v>3468</v>
      </c>
      <c r="J149" s="170">
        <f t="shared" si="55"/>
        <v>0.98887938408896492</v>
      </c>
      <c r="K149" s="109">
        <f t="shared" si="59"/>
        <v>3507</v>
      </c>
      <c r="L149" s="85">
        <f t="shared" si="59"/>
        <v>3507</v>
      </c>
      <c r="M149" s="85">
        <f t="shared" si="59"/>
        <v>0</v>
      </c>
      <c r="N149" s="85">
        <f t="shared" si="59"/>
        <v>0</v>
      </c>
      <c r="O149" s="85"/>
      <c r="P149" s="85">
        <f t="shared" si="59"/>
        <v>0</v>
      </c>
      <c r="Q149" s="85">
        <f t="shared" si="59"/>
        <v>3507</v>
      </c>
      <c r="R149" s="85">
        <f t="shared" si="59"/>
        <v>0</v>
      </c>
      <c r="S149" s="86">
        <f>S150+S151+S152</f>
        <v>0</v>
      </c>
      <c r="T149" s="85">
        <f t="shared" si="59"/>
        <v>0</v>
      </c>
      <c r="U149" s="85">
        <f t="shared" si="59"/>
        <v>0</v>
      </c>
      <c r="V149" s="85">
        <f t="shared" si="59"/>
        <v>0</v>
      </c>
      <c r="W149" s="85">
        <f t="shared" si="59"/>
        <v>0</v>
      </c>
      <c r="X149" s="85">
        <f t="shared" si="59"/>
        <v>0</v>
      </c>
      <c r="Y149" s="85">
        <f t="shared" si="59"/>
        <v>0</v>
      </c>
      <c r="Z149" s="85">
        <f t="shared" si="59"/>
        <v>0</v>
      </c>
      <c r="AA149" s="85">
        <f t="shared" si="59"/>
        <v>0</v>
      </c>
      <c r="AB149" s="85">
        <f t="shared" si="59"/>
        <v>0</v>
      </c>
      <c r="AC149" s="85">
        <f t="shared" si="59"/>
        <v>0</v>
      </c>
      <c r="AD149" s="85">
        <f t="shared" si="59"/>
        <v>0</v>
      </c>
      <c r="AE149" s="85">
        <f t="shared" si="59"/>
        <v>0</v>
      </c>
      <c r="AF149" s="85">
        <f t="shared" si="59"/>
        <v>0</v>
      </c>
    </row>
    <row r="150" spans="1:32" x14ac:dyDescent="0.2">
      <c r="A150" s="4"/>
      <c r="B150" s="31"/>
      <c r="C150" s="42" t="s">
        <v>116</v>
      </c>
      <c r="D150" s="134" t="s">
        <v>117</v>
      </c>
      <c r="E150" s="32">
        <v>2933.5</v>
      </c>
      <c r="F150" s="20">
        <v>2199.66</v>
      </c>
      <c r="G150" s="11">
        <f t="shared" si="54"/>
        <v>0.74984148627918867</v>
      </c>
      <c r="H150" s="32">
        <v>2933.5</v>
      </c>
      <c r="I150" s="20">
        <v>2901</v>
      </c>
      <c r="J150" s="11">
        <f t="shared" si="55"/>
        <v>0.98892108402931655</v>
      </c>
      <c r="K150" s="24">
        <f>L150+T150+U150+AF150</f>
        <v>2933.5</v>
      </c>
      <c r="L150" s="19">
        <f>SUM(M150:S150)</f>
        <v>2933.5</v>
      </c>
      <c r="M150" s="19"/>
      <c r="N150" s="19"/>
      <c r="O150" s="19"/>
      <c r="P150" s="19"/>
      <c r="Q150" s="55">
        <v>2933.5</v>
      </c>
      <c r="R150" s="19"/>
      <c r="S150" s="19"/>
      <c r="T150" s="19"/>
      <c r="U150" s="19">
        <f>SUM(V150:AE150)</f>
        <v>0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</row>
    <row r="151" spans="1:32" x14ac:dyDescent="0.2">
      <c r="A151" s="4"/>
      <c r="B151" s="31"/>
      <c r="C151" s="42" t="s">
        <v>118</v>
      </c>
      <c r="D151" s="134" t="s">
        <v>119</v>
      </c>
      <c r="E151" s="32">
        <v>501.63</v>
      </c>
      <c r="F151" s="20">
        <v>377.46</v>
      </c>
      <c r="G151" s="11">
        <f t="shared" si="54"/>
        <v>0.75246695771783978</v>
      </c>
      <c r="H151" s="32">
        <v>501.63</v>
      </c>
      <c r="I151" s="20">
        <v>496</v>
      </c>
      <c r="J151" s="11">
        <f t="shared" si="55"/>
        <v>0.98877658832207005</v>
      </c>
      <c r="K151" s="24">
        <f t="shared" ref="K151:K152" si="60">L151+T151+U151+AF151</f>
        <v>501.63</v>
      </c>
      <c r="L151" s="19">
        <f>SUM(M151:S151)</f>
        <v>501.63</v>
      </c>
      <c r="M151" s="19"/>
      <c r="N151" s="19"/>
      <c r="O151" s="19"/>
      <c r="P151" s="19"/>
      <c r="Q151" s="55">
        <v>501.63</v>
      </c>
      <c r="R151" s="19"/>
      <c r="S151" s="19"/>
      <c r="T151" s="19"/>
      <c r="U151" s="19">
        <f>SUM(V151:AE151)</f>
        <v>0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</row>
    <row r="152" spans="1:32" x14ac:dyDescent="0.2">
      <c r="A152" s="4"/>
      <c r="B152" s="31"/>
      <c r="C152" s="42" t="s">
        <v>120</v>
      </c>
      <c r="D152" s="134" t="s">
        <v>121</v>
      </c>
      <c r="E152" s="32">
        <v>71.87</v>
      </c>
      <c r="F152" s="20">
        <v>53.88</v>
      </c>
      <c r="G152" s="11">
        <f t="shared" si="54"/>
        <v>0.74968693474328651</v>
      </c>
      <c r="H152" s="32">
        <v>71.87</v>
      </c>
      <c r="I152" s="20">
        <v>71</v>
      </c>
      <c r="J152" s="11">
        <f t="shared" si="55"/>
        <v>0.98789481007374425</v>
      </c>
      <c r="K152" s="24">
        <f t="shared" si="60"/>
        <v>71.87</v>
      </c>
      <c r="L152" s="19">
        <f>SUM(M152:S152)</f>
        <v>71.87</v>
      </c>
      <c r="M152" s="19"/>
      <c r="N152" s="19"/>
      <c r="O152" s="19"/>
      <c r="P152" s="19"/>
      <c r="Q152" s="55">
        <v>71.87</v>
      </c>
      <c r="R152" s="19"/>
      <c r="S152" s="19"/>
      <c r="T152" s="19"/>
      <c r="U152" s="19">
        <f>SUM(V152:AE152)</f>
        <v>0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</row>
    <row r="153" spans="1:32" ht="15.75" x14ac:dyDescent="0.2">
      <c r="A153" s="3"/>
      <c r="B153" s="165" t="s">
        <v>375</v>
      </c>
      <c r="C153" s="166"/>
      <c r="D153" s="167"/>
      <c r="E153" s="168">
        <f>E154+E155+E156+E157+E158+E159+E160+E161</f>
        <v>147518.99999999997</v>
      </c>
      <c r="F153" s="168">
        <f t="shared" ref="F153:AF153" si="61">F154+F155+F156+F157+F158+F159+F160+F161</f>
        <v>146818.99999999997</v>
      </c>
      <c r="G153" s="170">
        <f t="shared" si="54"/>
        <v>0.99525484852798618</v>
      </c>
      <c r="H153" s="168">
        <f t="shared" si="61"/>
        <v>146818.99999999997</v>
      </c>
      <c r="I153" s="168">
        <f t="shared" si="61"/>
        <v>0</v>
      </c>
      <c r="J153" s="170">
        <f t="shared" si="55"/>
        <v>0</v>
      </c>
      <c r="K153" s="109">
        <f t="shared" si="61"/>
        <v>0</v>
      </c>
      <c r="L153" s="85">
        <f t="shared" si="61"/>
        <v>0</v>
      </c>
      <c r="M153" s="85">
        <f t="shared" si="61"/>
        <v>0</v>
      </c>
      <c r="N153" s="85">
        <f t="shared" si="61"/>
        <v>0</v>
      </c>
      <c r="O153" s="85"/>
      <c r="P153" s="85">
        <f t="shared" si="61"/>
        <v>0</v>
      </c>
      <c r="Q153" s="85">
        <f t="shared" si="61"/>
        <v>0</v>
      </c>
      <c r="R153" s="85">
        <f t="shared" si="61"/>
        <v>0</v>
      </c>
      <c r="S153" s="86">
        <f>S154+S155+S156+S157+S158+S159+S160+S161</f>
        <v>0</v>
      </c>
      <c r="T153" s="85">
        <f t="shared" si="61"/>
        <v>0</v>
      </c>
      <c r="U153" s="85">
        <f t="shared" si="61"/>
        <v>0</v>
      </c>
      <c r="V153" s="85">
        <f t="shared" si="61"/>
        <v>0</v>
      </c>
      <c r="W153" s="85">
        <f t="shared" si="61"/>
        <v>0</v>
      </c>
      <c r="X153" s="85">
        <f t="shared" si="61"/>
        <v>0</v>
      </c>
      <c r="Y153" s="85">
        <f t="shared" si="61"/>
        <v>0</v>
      </c>
      <c r="Z153" s="85">
        <f t="shared" si="61"/>
        <v>0</v>
      </c>
      <c r="AA153" s="85">
        <f t="shared" si="61"/>
        <v>0</v>
      </c>
      <c r="AB153" s="85">
        <f t="shared" si="61"/>
        <v>0</v>
      </c>
      <c r="AC153" s="85">
        <f t="shared" si="61"/>
        <v>0</v>
      </c>
      <c r="AD153" s="85">
        <f t="shared" si="61"/>
        <v>0</v>
      </c>
      <c r="AE153" s="85">
        <f t="shared" si="61"/>
        <v>0</v>
      </c>
      <c r="AF153" s="85">
        <f t="shared" si="61"/>
        <v>0</v>
      </c>
    </row>
    <row r="154" spans="1:32" ht="22.5" x14ac:dyDescent="0.2">
      <c r="A154" s="4"/>
      <c r="B154" s="31"/>
      <c r="C154" s="42" t="s">
        <v>177</v>
      </c>
      <c r="D154" s="134" t="s">
        <v>178</v>
      </c>
      <c r="E154" s="32">
        <v>92100</v>
      </c>
      <c r="F154" s="20">
        <v>91400</v>
      </c>
      <c r="G154" s="11">
        <f t="shared" si="54"/>
        <v>0.99239956568946797</v>
      </c>
      <c r="H154" s="32">
        <v>91400</v>
      </c>
      <c r="I154" s="20">
        <v>0</v>
      </c>
      <c r="J154" s="11">
        <v>0</v>
      </c>
      <c r="K154" s="24">
        <f>L154+T154+U154+AF154</f>
        <v>0</v>
      </c>
      <c r="L154" s="19">
        <f>SUM(M154:S154)</f>
        <v>0</v>
      </c>
      <c r="M154" s="19"/>
      <c r="N154" s="19"/>
      <c r="O154" s="19"/>
      <c r="P154" s="19"/>
      <c r="Q154" s="19"/>
      <c r="R154" s="19"/>
      <c r="S154" s="19"/>
      <c r="T154" s="19"/>
      <c r="U154" s="19">
        <f>SUM(V154:AE154)</f>
        <v>0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</row>
    <row r="155" spans="1:32" x14ac:dyDescent="0.2">
      <c r="A155" s="4"/>
      <c r="B155" s="31"/>
      <c r="C155" s="42" t="s">
        <v>118</v>
      </c>
      <c r="D155" s="134" t="s">
        <v>119</v>
      </c>
      <c r="E155" s="32">
        <v>5159.08</v>
      </c>
      <c r="F155" s="20">
        <v>5159.08</v>
      </c>
      <c r="G155" s="11">
        <f t="shared" si="54"/>
        <v>1</v>
      </c>
      <c r="H155" s="32">
        <v>5159.08</v>
      </c>
      <c r="I155" s="20">
        <v>0</v>
      </c>
      <c r="J155" s="11">
        <f t="shared" si="55"/>
        <v>0</v>
      </c>
      <c r="K155" s="24">
        <f t="shared" ref="K155:K161" si="62">L155+T155+U155+AF155</f>
        <v>0</v>
      </c>
      <c r="L155" s="19">
        <f t="shared" ref="L155:L161" si="63">SUM(M155:S155)</f>
        <v>0</v>
      </c>
      <c r="M155" s="19"/>
      <c r="N155" s="19"/>
      <c r="O155" s="19"/>
      <c r="P155" s="19"/>
      <c r="Q155" s="19"/>
      <c r="R155" s="19"/>
      <c r="S155" s="19"/>
      <c r="T155" s="19"/>
      <c r="U155" s="19">
        <f t="shared" ref="U155:U161" si="64">SUM(V155:AE155)</f>
        <v>0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</row>
    <row r="156" spans="1:32" x14ac:dyDescent="0.2">
      <c r="A156" s="4"/>
      <c r="B156" s="31"/>
      <c r="C156" s="42" t="s">
        <v>120</v>
      </c>
      <c r="D156" s="34" t="s">
        <v>121</v>
      </c>
      <c r="E156" s="32">
        <v>546.20000000000005</v>
      </c>
      <c r="F156" s="20">
        <v>546.20000000000005</v>
      </c>
      <c r="G156" s="11">
        <f t="shared" si="54"/>
        <v>1</v>
      </c>
      <c r="H156" s="32">
        <v>546.20000000000005</v>
      </c>
      <c r="I156" s="20">
        <v>0</v>
      </c>
      <c r="J156" s="11">
        <f t="shared" si="55"/>
        <v>0</v>
      </c>
      <c r="K156" s="24">
        <f t="shared" si="62"/>
        <v>0</v>
      </c>
      <c r="L156" s="19">
        <f t="shared" si="63"/>
        <v>0</v>
      </c>
      <c r="M156" s="19"/>
      <c r="N156" s="19"/>
      <c r="O156" s="19"/>
      <c r="P156" s="19"/>
      <c r="Q156" s="19"/>
      <c r="R156" s="19"/>
      <c r="S156" s="19"/>
      <c r="T156" s="19"/>
      <c r="U156" s="19">
        <f t="shared" si="64"/>
        <v>0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</row>
    <row r="157" spans="1:32" x14ac:dyDescent="0.2">
      <c r="A157" s="4"/>
      <c r="B157" s="31"/>
      <c r="C157" s="42" t="s">
        <v>128</v>
      </c>
      <c r="D157" s="134" t="s">
        <v>129</v>
      </c>
      <c r="E157" s="32">
        <v>37200</v>
      </c>
      <c r="F157" s="20">
        <v>37200</v>
      </c>
      <c r="G157" s="11">
        <f t="shared" si="54"/>
        <v>1</v>
      </c>
      <c r="H157" s="32">
        <v>37200</v>
      </c>
      <c r="I157" s="20">
        <v>0</v>
      </c>
      <c r="J157" s="11">
        <f t="shared" si="55"/>
        <v>0</v>
      </c>
      <c r="K157" s="24">
        <f t="shared" si="62"/>
        <v>0</v>
      </c>
      <c r="L157" s="19">
        <f t="shared" si="63"/>
        <v>0</v>
      </c>
      <c r="M157" s="19"/>
      <c r="N157" s="19"/>
      <c r="O157" s="19"/>
      <c r="P157" s="19"/>
      <c r="Q157" s="19"/>
      <c r="R157" s="19"/>
      <c r="S157" s="19"/>
      <c r="T157" s="19"/>
      <c r="U157" s="19">
        <f t="shared" si="64"/>
        <v>0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</row>
    <row r="158" spans="1:32" x14ac:dyDescent="0.2">
      <c r="A158" s="4"/>
      <c r="B158" s="31"/>
      <c r="C158" s="42" t="s">
        <v>122</v>
      </c>
      <c r="D158" s="134" t="s">
        <v>123</v>
      </c>
      <c r="E158" s="32">
        <v>8069.09</v>
      </c>
      <c r="F158" s="20">
        <v>8069.09</v>
      </c>
      <c r="G158" s="11">
        <f t="shared" si="54"/>
        <v>1</v>
      </c>
      <c r="H158" s="32">
        <v>8069.09</v>
      </c>
      <c r="I158" s="20">
        <v>0</v>
      </c>
      <c r="J158" s="11">
        <f t="shared" si="55"/>
        <v>0</v>
      </c>
      <c r="K158" s="24">
        <f t="shared" si="62"/>
        <v>0</v>
      </c>
      <c r="L158" s="19">
        <f t="shared" si="63"/>
        <v>0</v>
      </c>
      <c r="M158" s="19"/>
      <c r="N158" s="19"/>
      <c r="O158" s="19"/>
      <c r="P158" s="19"/>
      <c r="Q158" s="19"/>
      <c r="R158" s="19"/>
      <c r="S158" s="19"/>
      <c r="T158" s="19"/>
      <c r="U158" s="19">
        <f t="shared" si="64"/>
        <v>0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</row>
    <row r="159" spans="1:32" x14ac:dyDescent="0.2">
      <c r="A159" s="4"/>
      <c r="B159" s="31"/>
      <c r="C159" s="42" t="s">
        <v>130</v>
      </c>
      <c r="D159" s="134" t="s">
        <v>131</v>
      </c>
      <c r="E159" s="32">
        <v>41.9</v>
      </c>
      <c r="F159" s="20">
        <v>41.9</v>
      </c>
      <c r="G159" s="11">
        <f t="shared" si="54"/>
        <v>1</v>
      </c>
      <c r="H159" s="32">
        <v>41.9</v>
      </c>
      <c r="I159" s="20">
        <v>0</v>
      </c>
      <c r="J159" s="11">
        <f t="shared" si="55"/>
        <v>0</v>
      </c>
      <c r="K159" s="24">
        <f t="shared" si="62"/>
        <v>0</v>
      </c>
      <c r="L159" s="19">
        <f t="shared" si="63"/>
        <v>0</v>
      </c>
      <c r="M159" s="19"/>
      <c r="N159" s="19"/>
      <c r="O159" s="19"/>
      <c r="P159" s="19"/>
      <c r="Q159" s="19"/>
      <c r="R159" s="19"/>
      <c r="S159" s="19"/>
      <c r="T159" s="19"/>
      <c r="U159" s="19">
        <f t="shared" si="64"/>
        <v>0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</row>
    <row r="160" spans="1:32" x14ac:dyDescent="0.2">
      <c r="A160" s="4"/>
      <c r="B160" s="31"/>
      <c r="C160" s="42" t="s">
        <v>124</v>
      </c>
      <c r="D160" s="134" t="s">
        <v>125</v>
      </c>
      <c r="E160" s="32">
        <v>3835.99</v>
      </c>
      <c r="F160" s="20">
        <v>3835.99</v>
      </c>
      <c r="G160" s="11">
        <f t="shared" si="54"/>
        <v>1</v>
      </c>
      <c r="H160" s="32">
        <v>3835.99</v>
      </c>
      <c r="I160" s="20">
        <v>0</v>
      </c>
      <c r="J160" s="11">
        <f t="shared" si="55"/>
        <v>0</v>
      </c>
      <c r="K160" s="24">
        <f t="shared" si="62"/>
        <v>0</v>
      </c>
      <c r="L160" s="19">
        <f t="shared" si="63"/>
        <v>0</v>
      </c>
      <c r="M160" s="19"/>
      <c r="N160" s="19"/>
      <c r="O160" s="19"/>
      <c r="P160" s="19"/>
      <c r="Q160" s="19"/>
      <c r="R160" s="19"/>
      <c r="S160" s="19"/>
      <c r="T160" s="19"/>
      <c r="U160" s="19">
        <f t="shared" si="64"/>
        <v>0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</row>
    <row r="161" spans="1:32" x14ac:dyDescent="0.2">
      <c r="A161" s="4"/>
      <c r="B161" s="31"/>
      <c r="C161" s="42" t="s">
        <v>191</v>
      </c>
      <c r="D161" s="134" t="s">
        <v>192</v>
      </c>
      <c r="E161" s="32">
        <v>566.74</v>
      </c>
      <c r="F161" s="20">
        <v>566.74</v>
      </c>
      <c r="G161" s="11">
        <f t="shared" si="54"/>
        <v>1</v>
      </c>
      <c r="H161" s="32">
        <v>566.74</v>
      </c>
      <c r="I161" s="20">
        <v>0</v>
      </c>
      <c r="J161" s="11">
        <f t="shared" si="55"/>
        <v>0</v>
      </c>
      <c r="K161" s="24">
        <f t="shared" si="62"/>
        <v>0</v>
      </c>
      <c r="L161" s="19">
        <f t="shared" si="63"/>
        <v>0</v>
      </c>
      <c r="M161" s="19"/>
      <c r="N161" s="19"/>
      <c r="O161" s="19"/>
      <c r="P161" s="19"/>
      <c r="Q161" s="19"/>
      <c r="R161" s="19"/>
      <c r="S161" s="19"/>
      <c r="T161" s="19"/>
      <c r="U161" s="19">
        <f t="shared" si="64"/>
        <v>0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</row>
    <row r="162" spans="1:32" ht="28.5" customHeight="1" x14ac:dyDescent="0.2">
      <c r="A162" s="155" t="s">
        <v>34</v>
      </c>
      <c r="B162" s="162"/>
      <c r="C162" s="157"/>
      <c r="D162" s="133" t="s">
        <v>35</v>
      </c>
      <c r="E162" s="159">
        <f>E165+E168+E183+E189+E195+E163</f>
        <v>707034</v>
      </c>
      <c r="F162" s="159">
        <f>F165+F168+F183+F189+F195+F163</f>
        <v>483229.99</v>
      </c>
      <c r="G162" s="87">
        <f t="shared" si="54"/>
        <v>0.68346075294823161</v>
      </c>
      <c r="H162" s="159">
        <f>H165+H168+H183+H189+H195+H163</f>
        <v>599595.53333333333</v>
      </c>
      <c r="I162" s="159">
        <f>I165+I168+I183+I189+I195+I163</f>
        <v>600600</v>
      </c>
      <c r="J162" s="87">
        <f t="shared" si="55"/>
        <v>0.84946409932195621</v>
      </c>
      <c r="K162" s="108" t="e">
        <f>K165+K168+K183+K189+K195</f>
        <v>#REF!</v>
      </c>
      <c r="L162" s="12" t="e">
        <f>L165+L168+L183+L189+L195</f>
        <v>#REF!</v>
      </c>
      <c r="M162" s="12" t="e">
        <f>M165+M168+M183+M189+M195</f>
        <v>#REF!</v>
      </c>
      <c r="N162" s="12" t="e">
        <f>N165+N168+N183+N189+N195</f>
        <v>#REF!</v>
      </c>
      <c r="O162" s="12"/>
      <c r="P162" s="12" t="e">
        <f t="shared" ref="P162:AF162" si="65">P165+P168+P183+P189+P195</f>
        <v>#REF!</v>
      </c>
      <c r="Q162" s="12" t="e">
        <f t="shared" si="65"/>
        <v>#REF!</v>
      </c>
      <c r="R162" s="12" t="e">
        <f t="shared" si="65"/>
        <v>#REF!</v>
      </c>
      <c r="S162" s="16" t="e">
        <f t="shared" si="65"/>
        <v>#REF!</v>
      </c>
      <c r="T162" s="12" t="e">
        <f t="shared" si="65"/>
        <v>#REF!</v>
      </c>
      <c r="U162" s="12" t="e">
        <f t="shared" si="65"/>
        <v>#REF!</v>
      </c>
      <c r="V162" s="12" t="e">
        <f t="shared" si="65"/>
        <v>#REF!</v>
      </c>
      <c r="W162" s="12" t="e">
        <f t="shared" si="65"/>
        <v>#REF!</v>
      </c>
      <c r="X162" s="12" t="e">
        <f t="shared" si="65"/>
        <v>#REF!</v>
      </c>
      <c r="Y162" s="12" t="e">
        <f t="shared" si="65"/>
        <v>#REF!</v>
      </c>
      <c r="Z162" s="12" t="e">
        <f t="shared" si="65"/>
        <v>#REF!</v>
      </c>
      <c r="AA162" s="12" t="e">
        <f t="shared" si="65"/>
        <v>#REF!</v>
      </c>
      <c r="AB162" s="12" t="e">
        <f t="shared" si="65"/>
        <v>#REF!</v>
      </c>
      <c r="AC162" s="12" t="e">
        <f t="shared" si="65"/>
        <v>#REF!</v>
      </c>
      <c r="AD162" s="12" t="e">
        <f t="shared" si="65"/>
        <v>#REF!</v>
      </c>
      <c r="AE162" s="12" t="e">
        <f t="shared" si="65"/>
        <v>#REF!</v>
      </c>
      <c r="AF162" s="12" t="e">
        <f t="shared" si="65"/>
        <v>#REF!</v>
      </c>
    </row>
    <row r="163" spans="1:32" ht="18" customHeight="1" x14ac:dyDescent="0.2">
      <c r="A163" s="146"/>
      <c r="B163" s="182" t="s">
        <v>376</v>
      </c>
      <c r="C163" s="173"/>
      <c r="D163" s="167" t="s">
        <v>383</v>
      </c>
      <c r="E163" s="168">
        <f>E164</f>
        <v>47500</v>
      </c>
      <c r="F163" s="168">
        <f>F164</f>
        <v>47500</v>
      </c>
      <c r="G163" s="183">
        <f>G164</f>
        <v>1</v>
      </c>
      <c r="H163" s="168">
        <f>H164</f>
        <v>47500</v>
      </c>
      <c r="I163" s="168">
        <f>I164</f>
        <v>0</v>
      </c>
      <c r="J163" s="170">
        <v>0</v>
      </c>
      <c r="K163" s="108"/>
      <c r="L163" s="12"/>
      <c r="M163" s="12"/>
      <c r="N163" s="12"/>
      <c r="O163" s="12"/>
      <c r="P163" s="12"/>
      <c r="Q163" s="12"/>
      <c r="R163" s="12"/>
      <c r="S163" s="16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ht="35.25" customHeight="1" x14ac:dyDescent="0.2">
      <c r="A164" s="146"/>
      <c r="B164" s="147"/>
      <c r="C164" s="148" t="s">
        <v>208</v>
      </c>
      <c r="D164" s="144" t="s">
        <v>209</v>
      </c>
      <c r="E164" s="145">
        <v>47500</v>
      </c>
      <c r="F164" s="145">
        <v>47500</v>
      </c>
      <c r="G164" s="14">
        <f>F164/E164</f>
        <v>1</v>
      </c>
      <c r="H164" s="145">
        <v>47500</v>
      </c>
      <c r="I164" s="145">
        <v>0</v>
      </c>
      <c r="J164" s="14">
        <v>0</v>
      </c>
      <c r="K164" s="108"/>
      <c r="L164" s="12"/>
      <c r="M164" s="12"/>
      <c r="N164" s="12"/>
      <c r="O164" s="12"/>
      <c r="P164" s="12"/>
      <c r="Q164" s="12"/>
      <c r="R164" s="12"/>
      <c r="S164" s="16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ht="22.5" x14ac:dyDescent="0.2">
      <c r="A165" s="3"/>
      <c r="B165" s="165" t="s">
        <v>204</v>
      </c>
      <c r="C165" s="166"/>
      <c r="D165" s="167" t="s">
        <v>205</v>
      </c>
      <c r="E165" s="168">
        <f>E166+E167</f>
        <v>15000</v>
      </c>
      <c r="F165" s="168">
        <f t="shared" ref="F165:AF165" si="66">F166+F167</f>
        <v>15000</v>
      </c>
      <c r="G165" s="170">
        <v>0</v>
      </c>
      <c r="H165" s="168">
        <f t="shared" si="66"/>
        <v>15000</v>
      </c>
      <c r="I165" s="168">
        <f t="shared" si="66"/>
        <v>0</v>
      </c>
      <c r="J165" s="170">
        <v>0</v>
      </c>
      <c r="K165" s="109">
        <f t="shared" si="66"/>
        <v>15000</v>
      </c>
      <c r="L165" s="85">
        <f t="shared" si="66"/>
        <v>15000</v>
      </c>
      <c r="M165" s="85">
        <f t="shared" si="66"/>
        <v>0</v>
      </c>
      <c r="N165" s="85">
        <f t="shared" si="66"/>
        <v>15000</v>
      </c>
      <c r="O165" s="85"/>
      <c r="P165" s="85">
        <f t="shared" si="66"/>
        <v>0</v>
      </c>
      <c r="Q165" s="85">
        <f t="shared" si="66"/>
        <v>0</v>
      </c>
      <c r="R165" s="85">
        <f t="shared" si="66"/>
        <v>0</v>
      </c>
      <c r="S165" s="86">
        <f>S166+S167</f>
        <v>0</v>
      </c>
      <c r="T165" s="85">
        <f t="shared" si="66"/>
        <v>0</v>
      </c>
      <c r="U165" s="85">
        <f t="shared" si="66"/>
        <v>0</v>
      </c>
      <c r="V165" s="85">
        <f t="shared" si="66"/>
        <v>0</v>
      </c>
      <c r="W165" s="85">
        <f t="shared" si="66"/>
        <v>0</v>
      </c>
      <c r="X165" s="85">
        <f t="shared" si="66"/>
        <v>0</v>
      </c>
      <c r="Y165" s="85">
        <f t="shared" si="66"/>
        <v>0</v>
      </c>
      <c r="Z165" s="85">
        <f t="shared" si="66"/>
        <v>0</v>
      </c>
      <c r="AA165" s="85">
        <f t="shared" si="66"/>
        <v>0</v>
      </c>
      <c r="AB165" s="85">
        <f t="shared" si="66"/>
        <v>0</v>
      </c>
      <c r="AC165" s="85">
        <f t="shared" si="66"/>
        <v>0</v>
      </c>
      <c r="AD165" s="85">
        <f t="shared" si="66"/>
        <v>0</v>
      </c>
      <c r="AE165" s="85">
        <f t="shared" si="66"/>
        <v>0</v>
      </c>
      <c r="AF165" s="85">
        <f t="shared" si="66"/>
        <v>0</v>
      </c>
    </row>
    <row r="166" spans="1:32" ht="22.5" x14ac:dyDescent="0.2">
      <c r="A166" s="4"/>
      <c r="B166" s="31"/>
      <c r="C166" s="42" t="s">
        <v>206</v>
      </c>
      <c r="D166" s="134" t="s">
        <v>207</v>
      </c>
      <c r="E166" s="32">
        <v>15000</v>
      </c>
      <c r="F166" s="20">
        <v>15000</v>
      </c>
      <c r="G166" s="11">
        <v>0</v>
      </c>
      <c r="H166" s="20">
        <v>15000</v>
      </c>
      <c r="I166" s="20">
        <v>0</v>
      </c>
      <c r="J166" s="11">
        <v>0</v>
      </c>
      <c r="K166" s="24">
        <f>L166+T166+U166+AF166</f>
        <v>15000</v>
      </c>
      <c r="L166" s="19">
        <f>SUM(M166:S166)</f>
        <v>15000</v>
      </c>
      <c r="M166" s="19"/>
      <c r="N166" s="101">
        <v>15000</v>
      </c>
      <c r="O166" s="19"/>
      <c r="P166" s="19"/>
      <c r="Q166" s="19"/>
      <c r="R166" s="19"/>
      <c r="S166" s="19"/>
      <c r="T166" s="19"/>
      <c r="U166" s="19">
        <f>SUM(V166:AE166)</f>
        <v>0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</row>
    <row r="167" spans="1:32" ht="33.75" hidden="1" x14ac:dyDescent="0.2">
      <c r="A167" s="4"/>
      <c r="B167" s="31"/>
      <c r="C167" s="42" t="s">
        <v>208</v>
      </c>
      <c r="D167" s="134" t="s">
        <v>209</v>
      </c>
      <c r="E167" s="32" t="s">
        <v>6</v>
      </c>
      <c r="F167" s="20">
        <v>0</v>
      </c>
      <c r="G167" s="11" t="e">
        <f t="shared" si="54"/>
        <v>#DIV/0!</v>
      </c>
      <c r="H167" s="20">
        <v>0</v>
      </c>
      <c r="I167" s="20">
        <v>0</v>
      </c>
      <c r="J167" s="11" t="e">
        <f t="shared" si="55"/>
        <v>#DIV/0!</v>
      </c>
      <c r="K167" s="24">
        <f>L167+T167+U167</f>
        <v>0</v>
      </c>
      <c r="L167" s="19">
        <f>SUM(M167:S167)</f>
        <v>0</v>
      </c>
      <c r="M167" s="19"/>
      <c r="N167" s="19"/>
      <c r="O167" s="19"/>
      <c r="P167" s="19"/>
      <c r="Q167" s="19"/>
      <c r="R167" s="19"/>
      <c r="S167" s="19"/>
      <c r="T167" s="19"/>
      <c r="U167" s="19">
        <f>SUM(V167:AE167)</f>
        <v>0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</row>
    <row r="168" spans="1:32" ht="15.75" x14ac:dyDescent="0.2">
      <c r="A168" s="3"/>
      <c r="B168" s="165" t="s">
        <v>36</v>
      </c>
      <c r="C168" s="166"/>
      <c r="D168" s="167" t="s">
        <v>37</v>
      </c>
      <c r="E168" s="168">
        <f>E169+E170+E171+E172+E173+E174+E175+E177+E179+E180+E181+E182+E178+E176</f>
        <v>509134</v>
      </c>
      <c r="F168" s="168">
        <f>F169+F170+F171+F172+F173+F174+F175+F177+F179+F180+F181+F182+F178+F176</f>
        <v>308718.73</v>
      </c>
      <c r="G168" s="169">
        <f>F168/E168</f>
        <v>0.60636046698904411</v>
      </c>
      <c r="H168" s="168">
        <f>H169+H170+H171+H172+H173+H174+H175+H177+H179+H180+H181+H182+H178+H176</f>
        <v>413501.76</v>
      </c>
      <c r="I168" s="168">
        <f>I169+I170+I171+I172+I173+I174+I175+I177+I179+I180+I181+I182+I178+I176</f>
        <v>468700</v>
      </c>
      <c r="J168" s="169">
        <f>I168/E168</f>
        <v>0.92058279352783356</v>
      </c>
      <c r="K168" s="115" t="e">
        <f>K169+K170+K171+K172+K173+K174+K175+K177+K179+K180+K181+K182+#REF!+#REF!+#REF!+K178</f>
        <v>#REF!</v>
      </c>
      <c r="L168" s="85" t="e">
        <f>L169+L170+L171+L172+L173+L174+L175+L177+L179+L180+L181+L182+#REF!+#REF!+#REF!+L178</f>
        <v>#REF!</v>
      </c>
      <c r="M168" s="85" t="e">
        <f>M169+M170+M171+M172+M173+M174+M175+M177+M179+M180+M181+M182+#REF!+#REF!+#REF!+M178</f>
        <v>#REF!</v>
      </c>
      <c r="N168" s="85" t="e">
        <f>N169+N170+N171+N172+N173+N174+N175+N177+N179+N180+N181+N182+#REF!+#REF!+#REF!+N178</f>
        <v>#REF!</v>
      </c>
      <c r="O168" s="85"/>
      <c r="P168" s="85" t="e">
        <f>P169+P170+P171+P172+P173+P174+P175+P177+P179+P180+P181+P182+#REF!+#REF!+#REF!+P178</f>
        <v>#REF!</v>
      </c>
      <c r="Q168" s="85" t="e">
        <f>Q169+Q170+Q171+Q172+Q173+Q174+Q175+Q177+Q179+Q180+Q181+Q182+#REF!+#REF!+#REF!+Q178</f>
        <v>#REF!</v>
      </c>
      <c r="R168" s="85" t="e">
        <f>R169+R170+R171+R172+R173+R174+R175+R177+R179+R180+R181+R182+#REF!+#REF!+#REF!+R178</f>
        <v>#REF!</v>
      </c>
      <c r="S168" s="85" t="e">
        <f>S169+S170+S171+S172+S173+S174+S175+S177+S179+S180+S181+S182+#REF!+#REF!+#REF!+S178</f>
        <v>#REF!</v>
      </c>
      <c r="T168" s="85" t="e">
        <f>T169+T170+T171+T172+T173+T174+T175+T177+T179+T180+T181+T182+#REF!+#REF!+#REF!+T178</f>
        <v>#REF!</v>
      </c>
      <c r="U168" s="85" t="e">
        <f>U169+U170+U171+U172+U173+U174+U175+U177+U179+U180+U181+U182+#REF!+#REF!+#REF!+U178</f>
        <v>#REF!</v>
      </c>
      <c r="V168" s="85" t="e">
        <f>V169+V170+V171+V172+V173+V174+V175+V177+V179+V180+V181+V182+#REF!+#REF!+#REF!+V178</f>
        <v>#REF!</v>
      </c>
      <c r="W168" s="85" t="e">
        <f>W169+W170+W171+W172+W173+W174+W175+W177+W179+W180+W181+W182+#REF!+#REF!+#REF!+W178</f>
        <v>#REF!</v>
      </c>
      <c r="X168" s="85" t="e">
        <f>X169+X170+X171+X172+X173+X174+X175+X177+X179+X180+X181+X182+#REF!+#REF!+#REF!+X178</f>
        <v>#REF!</v>
      </c>
      <c r="Y168" s="85" t="e">
        <f>Y169+Y170+Y171+Y172+Y173+Y174+Y175+Y177+Y179+Y180+Y181+Y182+#REF!+#REF!+#REF!+Y178</f>
        <v>#REF!</v>
      </c>
      <c r="Z168" s="85" t="e">
        <f>Z169+Z170+Z171+Z172+Z173+Z174+Z175+Z177+Z179+Z180+Z181+Z182+#REF!+#REF!+#REF!+Z178</f>
        <v>#REF!</v>
      </c>
      <c r="AA168" s="85" t="e">
        <f>AA169+AA170+AA171+AA172+AA173+AA174+AA175+AA177+AA179+AA180+AA181+AA182+#REF!+#REF!+#REF!+AA178</f>
        <v>#REF!</v>
      </c>
      <c r="AB168" s="85" t="e">
        <f>AB169+AB170+AB171+AB172+AB173+AB174+AB175+AB177+AB179+AB180+AB181+AB182+#REF!+#REF!+#REF!+AB178</f>
        <v>#REF!</v>
      </c>
      <c r="AC168" s="85" t="e">
        <f>AC169+AC170+AC171+AC172+AC173+AC174+AC175+AC177+AC179+AC180+AC181+AC182+#REF!+#REF!+#REF!+AC178</f>
        <v>#REF!</v>
      </c>
      <c r="AD168" s="85" t="e">
        <f>AD169+AD170+AD171+AD172+AD173+AD174+AD175+AD177+AD179+AD180+AD181+AD182+#REF!+#REF!+#REF!+AD178</f>
        <v>#REF!</v>
      </c>
      <c r="AE168" s="85" t="e">
        <f>AE169+AE170+AE171+AE172+AE173+AE174+AE175+AE177+AE179+AE180+AE181+AE182+#REF!+#REF!+#REF!+AE178</f>
        <v>#REF!</v>
      </c>
      <c r="AF168" s="85" t="e">
        <f>AF169+AF170+AF171+AF172+AF173+AF174+AF175+AF177+AF179+AF180+AF181+AF182+#REF!+#REF!+#REF!+AF178</f>
        <v>#REF!</v>
      </c>
    </row>
    <row r="169" spans="1:32" ht="45" x14ac:dyDescent="0.2">
      <c r="A169" s="4"/>
      <c r="B169" s="31"/>
      <c r="C169" s="42" t="s">
        <v>135</v>
      </c>
      <c r="D169" s="134" t="s">
        <v>136</v>
      </c>
      <c r="E169" s="32">
        <v>40000</v>
      </c>
      <c r="F169" s="20">
        <v>39500</v>
      </c>
      <c r="G169" s="11">
        <f t="shared" si="54"/>
        <v>0.98750000000000004</v>
      </c>
      <c r="H169" s="20">
        <v>40000</v>
      </c>
      <c r="I169" s="136">
        <v>40000</v>
      </c>
      <c r="J169" s="11">
        <f t="shared" si="55"/>
        <v>1</v>
      </c>
      <c r="K169" s="24">
        <f>L169+T169+U169+AF169</f>
        <v>40000</v>
      </c>
      <c r="L169" s="19">
        <f>SUM(M169:S169)</f>
        <v>40000</v>
      </c>
      <c r="M169" s="19"/>
      <c r="N169" s="19"/>
      <c r="O169" s="19"/>
      <c r="P169" s="19"/>
      <c r="Q169" s="19"/>
      <c r="R169" s="55">
        <v>40000</v>
      </c>
      <c r="S169" s="19"/>
      <c r="T169" s="19"/>
      <c r="U169" s="19">
        <f>SUM(V169:AE169)</f>
        <v>0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</row>
    <row r="170" spans="1:32" ht="22.5" x14ac:dyDescent="0.2">
      <c r="A170" s="4"/>
      <c r="B170" s="31"/>
      <c r="C170" s="42" t="s">
        <v>177</v>
      </c>
      <c r="D170" s="134" t="s">
        <v>178</v>
      </c>
      <c r="E170" s="32">
        <v>60000</v>
      </c>
      <c r="F170" s="20">
        <v>27722</v>
      </c>
      <c r="G170" s="11">
        <f t="shared" si="54"/>
        <v>0.46203333333333335</v>
      </c>
      <c r="H170" s="20">
        <f t="shared" ref="H170:H182" si="67">F170/3*4</f>
        <v>36962.666666666664</v>
      </c>
      <c r="I170" s="136">
        <v>60000</v>
      </c>
      <c r="J170" s="11">
        <f t="shared" si="55"/>
        <v>1</v>
      </c>
      <c r="K170" s="24">
        <f t="shared" ref="K170:K182" si="68">L170+T170+U170+AF170</f>
        <v>60000</v>
      </c>
      <c r="L170" s="19">
        <f t="shared" ref="L170:L182" si="69">SUM(M170:S170)</f>
        <v>60000</v>
      </c>
      <c r="M170" s="19"/>
      <c r="N170" s="19"/>
      <c r="O170" s="19"/>
      <c r="P170" s="19"/>
      <c r="Q170" s="19"/>
      <c r="R170" s="101">
        <v>60000</v>
      </c>
      <c r="S170" s="19"/>
      <c r="T170" s="19"/>
      <c r="U170" s="19">
        <f t="shared" ref="U170:U182" si="70">SUM(V170:AE170)</f>
        <v>0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</row>
    <row r="171" spans="1:32" x14ac:dyDescent="0.2">
      <c r="A171" s="4"/>
      <c r="B171" s="31"/>
      <c r="C171" s="42" t="s">
        <v>118</v>
      </c>
      <c r="D171" s="134" t="s">
        <v>119</v>
      </c>
      <c r="E171" s="32">
        <v>9069.84</v>
      </c>
      <c r="F171" s="20">
        <v>6121.08</v>
      </c>
      <c r="G171" s="11">
        <f t="shared" si="54"/>
        <v>0.67488290862903866</v>
      </c>
      <c r="H171" s="20">
        <f t="shared" si="67"/>
        <v>8161.44</v>
      </c>
      <c r="I171" s="136">
        <v>0</v>
      </c>
      <c r="J171" s="11">
        <f t="shared" si="55"/>
        <v>0</v>
      </c>
      <c r="K171" s="24">
        <f t="shared" si="68"/>
        <v>9069.84</v>
      </c>
      <c r="L171" s="19">
        <f t="shared" si="69"/>
        <v>9069.84</v>
      </c>
      <c r="M171" s="19"/>
      <c r="N171" s="19"/>
      <c r="O171" s="19"/>
      <c r="P171" s="19"/>
      <c r="Q171" s="55">
        <v>9069.84</v>
      </c>
      <c r="R171" s="19"/>
      <c r="S171" s="19"/>
      <c r="T171" s="19"/>
      <c r="U171" s="19">
        <f t="shared" si="70"/>
        <v>0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</row>
    <row r="172" spans="1:32" x14ac:dyDescent="0.2">
      <c r="A172" s="4"/>
      <c r="B172" s="31"/>
      <c r="C172" s="42" t="s">
        <v>120</v>
      </c>
      <c r="D172" s="134" t="s">
        <v>121</v>
      </c>
      <c r="E172" s="32">
        <v>1099.58</v>
      </c>
      <c r="F172" s="20">
        <v>762.27</v>
      </c>
      <c r="G172" s="11">
        <f t="shared" si="54"/>
        <v>0.69323741792320703</v>
      </c>
      <c r="H172" s="20">
        <f t="shared" si="67"/>
        <v>1016.36</v>
      </c>
      <c r="I172" s="136">
        <v>0</v>
      </c>
      <c r="J172" s="11">
        <f>I172/E172</f>
        <v>0</v>
      </c>
      <c r="K172" s="24">
        <f t="shared" si="68"/>
        <v>1099.58</v>
      </c>
      <c r="L172" s="19">
        <f t="shared" si="69"/>
        <v>1099.58</v>
      </c>
      <c r="M172" s="19"/>
      <c r="N172" s="19"/>
      <c r="O172" s="19"/>
      <c r="P172" s="19"/>
      <c r="Q172" s="55">
        <v>1099.58</v>
      </c>
      <c r="R172" s="19"/>
      <c r="S172" s="19"/>
      <c r="T172" s="19"/>
      <c r="U172" s="19">
        <f t="shared" si="70"/>
        <v>0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</row>
    <row r="173" spans="1:32" x14ac:dyDescent="0.2">
      <c r="A173" s="4"/>
      <c r="B173" s="31"/>
      <c r="C173" s="42" t="s">
        <v>128</v>
      </c>
      <c r="D173" s="134" t="s">
        <v>129</v>
      </c>
      <c r="E173" s="32">
        <v>53040</v>
      </c>
      <c r="F173" s="20">
        <v>36419.879999999997</v>
      </c>
      <c r="G173" s="11">
        <f t="shared" si="54"/>
        <v>0.68664932126696832</v>
      </c>
      <c r="H173" s="20">
        <f t="shared" si="67"/>
        <v>48559.839999999997</v>
      </c>
      <c r="I173" s="136">
        <v>0</v>
      </c>
      <c r="J173" s="11">
        <f t="shared" si="55"/>
        <v>0</v>
      </c>
      <c r="K173" s="24">
        <f t="shared" si="68"/>
        <v>53040</v>
      </c>
      <c r="L173" s="19">
        <f t="shared" si="69"/>
        <v>53040</v>
      </c>
      <c r="M173" s="19"/>
      <c r="N173" s="19"/>
      <c r="O173" s="19"/>
      <c r="P173" s="19"/>
      <c r="Q173" s="55">
        <v>53040</v>
      </c>
      <c r="R173" s="19"/>
      <c r="S173" s="19"/>
      <c r="T173" s="19"/>
      <c r="U173" s="19">
        <f t="shared" si="70"/>
        <v>0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</row>
    <row r="174" spans="1:32" x14ac:dyDescent="0.2">
      <c r="A174" s="4"/>
      <c r="B174" s="31"/>
      <c r="C174" s="42" t="s">
        <v>179</v>
      </c>
      <c r="D174" s="134" t="s">
        <v>180</v>
      </c>
      <c r="E174" s="32">
        <v>1200</v>
      </c>
      <c r="F174" s="20">
        <v>0</v>
      </c>
      <c r="G174" s="11">
        <f t="shared" si="54"/>
        <v>0</v>
      </c>
      <c r="H174" s="20">
        <f t="shared" si="67"/>
        <v>0</v>
      </c>
      <c r="I174" s="136">
        <v>1200</v>
      </c>
      <c r="J174" s="11">
        <f t="shared" si="55"/>
        <v>1</v>
      </c>
      <c r="K174" s="24">
        <f t="shared" si="68"/>
        <v>1200</v>
      </c>
      <c r="L174" s="19">
        <f t="shared" si="69"/>
        <v>1200</v>
      </c>
      <c r="M174" s="19"/>
      <c r="N174" s="19"/>
      <c r="O174" s="19"/>
      <c r="P174" s="19"/>
      <c r="Q174" s="19"/>
      <c r="R174" s="55">
        <v>1200</v>
      </c>
      <c r="S174" s="19"/>
      <c r="T174" s="19"/>
      <c r="U174" s="19">
        <f t="shared" si="70"/>
        <v>0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</row>
    <row r="175" spans="1:32" x14ac:dyDescent="0.2">
      <c r="A175" s="4"/>
      <c r="B175" s="31"/>
      <c r="C175" s="42" t="s">
        <v>122</v>
      </c>
      <c r="D175" s="134" t="s">
        <v>123</v>
      </c>
      <c r="E175" s="32">
        <v>161724.57999999999</v>
      </c>
      <c r="F175" s="20">
        <v>112427.58</v>
      </c>
      <c r="G175" s="11">
        <f t="shared" si="54"/>
        <v>0.69517929803867795</v>
      </c>
      <c r="H175" s="20">
        <f t="shared" si="67"/>
        <v>149903.44</v>
      </c>
      <c r="I175" s="136">
        <v>157000</v>
      </c>
      <c r="J175" s="11">
        <f t="shared" si="55"/>
        <v>0.97078625895952253</v>
      </c>
      <c r="K175" s="24">
        <f t="shared" si="68"/>
        <v>165724.57999999999</v>
      </c>
      <c r="L175" s="19">
        <f t="shared" si="69"/>
        <v>165724.57999999999</v>
      </c>
      <c r="M175" s="19"/>
      <c r="N175" s="19"/>
      <c r="O175" s="19"/>
      <c r="P175" s="19"/>
      <c r="Q175" s="19"/>
      <c r="R175" s="101">
        <v>150000</v>
      </c>
      <c r="S175" s="55">
        <v>15724.58</v>
      </c>
      <c r="T175" s="19"/>
      <c r="U175" s="19">
        <f t="shared" si="70"/>
        <v>0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</row>
    <row r="176" spans="1:32" x14ac:dyDescent="0.2">
      <c r="A176" s="4"/>
      <c r="B176" s="31"/>
      <c r="C176" s="33" t="s">
        <v>239</v>
      </c>
      <c r="D176" s="34" t="s">
        <v>379</v>
      </c>
      <c r="E176" s="32">
        <v>0</v>
      </c>
      <c r="F176" s="20">
        <v>0</v>
      </c>
      <c r="G176" s="11">
        <v>0</v>
      </c>
      <c r="H176" s="20">
        <f t="shared" si="67"/>
        <v>0</v>
      </c>
      <c r="I176" s="136">
        <v>2500</v>
      </c>
      <c r="J176" s="11">
        <v>0</v>
      </c>
      <c r="K176" s="24"/>
      <c r="L176" s="19"/>
      <c r="M176" s="19"/>
      <c r="N176" s="19"/>
      <c r="O176" s="19"/>
      <c r="P176" s="19"/>
      <c r="Q176" s="19"/>
      <c r="R176" s="101"/>
      <c r="S176" s="55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</row>
    <row r="177" spans="1:32" x14ac:dyDescent="0.2">
      <c r="A177" s="4"/>
      <c r="B177" s="31"/>
      <c r="C177" s="42" t="s">
        <v>130</v>
      </c>
      <c r="D177" s="134" t="s">
        <v>131</v>
      </c>
      <c r="E177" s="32">
        <v>52000</v>
      </c>
      <c r="F177" s="20">
        <v>22190.86</v>
      </c>
      <c r="G177" s="11">
        <f t="shared" si="54"/>
        <v>0.42674730769230768</v>
      </c>
      <c r="H177" s="20">
        <f t="shared" si="67"/>
        <v>29587.813333333335</v>
      </c>
      <c r="I177" s="136">
        <v>52000</v>
      </c>
      <c r="J177" s="11">
        <f t="shared" si="55"/>
        <v>1</v>
      </c>
      <c r="K177" s="24">
        <f t="shared" si="68"/>
        <v>52000</v>
      </c>
      <c r="L177" s="19">
        <f t="shared" si="69"/>
        <v>52000</v>
      </c>
      <c r="M177" s="19"/>
      <c r="N177" s="19"/>
      <c r="O177" s="19"/>
      <c r="P177" s="19"/>
      <c r="Q177" s="19"/>
      <c r="R177" s="55">
        <v>52000</v>
      </c>
      <c r="S177" s="19"/>
      <c r="T177" s="19"/>
      <c r="U177" s="19">
        <f t="shared" si="70"/>
        <v>0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</row>
    <row r="178" spans="1:32" x14ac:dyDescent="0.2">
      <c r="A178" s="4"/>
      <c r="B178" s="31"/>
      <c r="C178" s="33" t="s">
        <v>140</v>
      </c>
      <c r="D178" s="34" t="s">
        <v>141</v>
      </c>
      <c r="E178" s="32">
        <v>25000</v>
      </c>
      <c r="F178" s="20">
        <v>3936</v>
      </c>
      <c r="G178" s="11">
        <v>0</v>
      </c>
      <c r="H178" s="20">
        <v>20000</v>
      </c>
      <c r="I178" s="136">
        <v>46000</v>
      </c>
      <c r="J178" s="11">
        <v>0</v>
      </c>
      <c r="K178" s="24">
        <f t="shared" si="68"/>
        <v>21000</v>
      </c>
      <c r="L178" s="19">
        <f t="shared" si="69"/>
        <v>21000</v>
      </c>
      <c r="M178" s="19"/>
      <c r="N178" s="19"/>
      <c r="O178" s="19"/>
      <c r="P178" s="19"/>
      <c r="Q178" s="19"/>
      <c r="R178" s="101">
        <v>0</v>
      </c>
      <c r="S178" s="55">
        <v>21000</v>
      </c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</row>
    <row r="179" spans="1:32" x14ac:dyDescent="0.2">
      <c r="A179" s="4"/>
      <c r="B179" s="31"/>
      <c r="C179" s="42" t="s">
        <v>185</v>
      </c>
      <c r="D179" s="134" t="s">
        <v>186</v>
      </c>
      <c r="E179" s="32">
        <v>11000</v>
      </c>
      <c r="F179" s="20">
        <v>1250</v>
      </c>
      <c r="G179" s="11">
        <f t="shared" si="54"/>
        <v>0.11363636363636363</v>
      </c>
      <c r="H179" s="20">
        <f t="shared" si="67"/>
        <v>1666.6666666666667</v>
      </c>
      <c r="I179" s="136">
        <v>15000</v>
      </c>
      <c r="J179" s="11">
        <f t="shared" si="55"/>
        <v>1.3636363636363635</v>
      </c>
      <c r="K179" s="24">
        <f t="shared" si="68"/>
        <v>15000</v>
      </c>
      <c r="L179" s="19">
        <f t="shared" si="69"/>
        <v>15000</v>
      </c>
      <c r="M179" s="19"/>
      <c r="N179" s="19"/>
      <c r="O179" s="19"/>
      <c r="P179" s="19"/>
      <c r="Q179" s="19"/>
      <c r="R179" s="101">
        <v>15000</v>
      </c>
      <c r="S179" s="19"/>
      <c r="T179" s="19"/>
      <c r="U179" s="19">
        <f t="shared" si="70"/>
        <v>0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</row>
    <row r="180" spans="1:32" x14ac:dyDescent="0.2">
      <c r="A180" s="4"/>
      <c r="B180" s="31"/>
      <c r="C180" s="42" t="s">
        <v>124</v>
      </c>
      <c r="D180" s="134" t="s">
        <v>125</v>
      </c>
      <c r="E180" s="32">
        <v>60000</v>
      </c>
      <c r="F180" s="20">
        <v>42173.65</v>
      </c>
      <c r="G180" s="11">
        <f t="shared" si="54"/>
        <v>0.70289416666666671</v>
      </c>
      <c r="H180" s="20">
        <f t="shared" si="67"/>
        <v>56231.533333333333</v>
      </c>
      <c r="I180" s="136">
        <v>60000</v>
      </c>
      <c r="J180" s="11">
        <f t="shared" si="55"/>
        <v>1</v>
      </c>
      <c r="K180" s="24">
        <f t="shared" si="68"/>
        <v>60000</v>
      </c>
      <c r="L180" s="19">
        <f t="shared" si="69"/>
        <v>60000</v>
      </c>
      <c r="M180" s="19"/>
      <c r="N180" s="19"/>
      <c r="O180" s="19"/>
      <c r="P180" s="19"/>
      <c r="Q180" s="19"/>
      <c r="R180" s="55">
        <v>60000</v>
      </c>
      <c r="S180" s="19"/>
      <c r="T180" s="19"/>
      <c r="U180" s="19">
        <f t="shared" si="70"/>
        <v>0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</row>
    <row r="181" spans="1:32" ht="22.5" x14ac:dyDescent="0.2">
      <c r="A181" s="4"/>
      <c r="B181" s="31"/>
      <c r="C181" s="42" t="s">
        <v>147</v>
      </c>
      <c r="D181" s="134" t="s">
        <v>148</v>
      </c>
      <c r="E181" s="32">
        <v>3000</v>
      </c>
      <c r="F181" s="20">
        <v>2406.41</v>
      </c>
      <c r="G181" s="11">
        <f t="shared" si="54"/>
        <v>0.80213666666666661</v>
      </c>
      <c r="H181" s="20">
        <v>3000</v>
      </c>
      <c r="I181" s="136">
        <v>3000</v>
      </c>
      <c r="J181" s="11">
        <f t="shared" si="55"/>
        <v>1</v>
      </c>
      <c r="K181" s="24">
        <f t="shared" si="68"/>
        <v>3000</v>
      </c>
      <c r="L181" s="19">
        <f t="shared" si="69"/>
        <v>3000</v>
      </c>
      <c r="M181" s="19"/>
      <c r="N181" s="19"/>
      <c r="O181" s="19"/>
      <c r="P181" s="19"/>
      <c r="Q181" s="19"/>
      <c r="R181" s="55">
        <v>3000</v>
      </c>
      <c r="S181" s="19"/>
      <c r="T181" s="19"/>
      <c r="U181" s="19">
        <f t="shared" si="70"/>
        <v>0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</row>
    <row r="182" spans="1:32" x14ac:dyDescent="0.2">
      <c r="A182" s="4"/>
      <c r="B182" s="31"/>
      <c r="C182" s="42" t="s">
        <v>126</v>
      </c>
      <c r="D182" s="134" t="s">
        <v>127</v>
      </c>
      <c r="E182" s="32">
        <v>32000</v>
      </c>
      <c r="F182" s="20">
        <v>13809</v>
      </c>
      <c r="G182" s="11">
        <f t="shared" si="54"/>
        <v>0.43153124999999998</v>
      </c>
      <c r="H182" s="20">
        <f t="shared" si="67"/>
        <v>18412</v>
      </c>
      <c r="I182" s="136">
        <v>32000</v>
      </c>
      <c r="J182" s="11">
        <f t="shared" si="55"/>
        <v>1</v>
      </c>
      <c r="K182" s="24">
        <f t="shared" si="68"/>
        <v>32000</v>
      </c>
      <c r="L182" s="19">
        <f t="shared" si="69"/>
        <v>32000</v>
      </c>
      <c r="M182" s="19"/>
      <c r="N182" s="19"/>
      <c r="O182" s="19"/>
      <c r="P182" s="19"/>
      <c r="Q182" s="19"/>
      <c r="R182" s="101">
        <v>32000</v>
      </c>
      <c r="S182" s="19"/>
      <c r="T182" s="19"/>
      <c r="U182" s="19">
        <f t="shared" si="70"/>
        <v>0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</row>
    <row r="183" spans="1:32" ht="15.75" x14ac:dyDescent="0.2">
      <c r="A183" s="3"/>
      <c r="B183" s="165" t="s">
        <v>212</v>
      </c>
      <c r="C183" s="166"/>
      <c r="D183" s="167" t="s">
        <v>213</v>
      </c>
      <c r="E183" s="168">
        <f>E184+E185+E186+E187+E188</f>
        <v>13700</v>
      </c>
      <c r="F183" s="168">
        <f t="shared" ref="F183:AF183" si="71">F184+F185+F186+F187+F188</f>
        <v>4143.9400000000005</v>
      </c>
      <c r="G183" s="169">
        <f>F183/E183</f>
        <v>0.30247737226277377</v>
      </c>
      <c r="H183" s="168">
        <f t="shared" si="71"/>
        <v>6023.24</v>
      </c>
      <c r="I183" s="168">
        <f t="shared" si="71"/>
        <v>53700</v>
      </c>
      <c r="J183" s="169">
        <f>I183/E183</f>
        <v>3.9197080291970803</v>
      </c>
      <c r="K183" s="115">
        <f t="shared" si="71"/>
        <v>13700</v>
      </c>
      <c r="L183" s="85">
        <f t="shared" si="71"/>
        <v>13700</v>
      </c>
      <c r="M183" s="85">
        <f t="shared" si="71"/>
        <v>0</v>
      </c>
      <c r="N183" s="85">
        <f t="shared" si="71"/>
        <v>0</v>
      </c>
      <c r="O183" s="85"/>
      <c r="P183" s="85">
        <f t="shared" si="71"/>
        <v>13700</v>
      </c>
      <c r="Q183" s="85">
        <f t="shared" si="71"/>
        <v>0</v>
      </c>
      <c r="R183" s="85">
        <f t="shared" si="71"/>
        <v>0</v>
      </c>
      <c r="S183" s="85">
        <f t="shared" si="71"/>
        <v>0</v>
      </c>
      <c r="T183" s="85">
        <f t="shared" si="71"/>
        <v>0</v>
      </c>
      <c r="U183" s="85">
        <f t="shared" si="71"/>
        <v>0</v>
      </c>
      <c r="V183" s="85">
        <f t="shared" si="71"/>
        <v>0</v>
      </c>
      <c r="W183" s="85">
        <f t="shared" si="71"/>
        <v>0</v>
      </c>
      <c r="X183" s="85">
        <f t="shared" si="71"/>
        <v>0</v>
      </c>
      <c r="Y183" s="85">
        <f t="shared" si="71"/>
        <v>0</v>
      </c>
      <c r="Z183" s="85">
        <f t="shared" si="71"/>
        <v>0</v>
      </c>
      <c r="AA183" s="85">
        <f t="shared" si="71"/>
        <v>0</v>
      </c>
      <c r="AB183" s="85">
        <f t="shared" si="71"/>
        <v>0</v>
      </c>
      <c r="AC183" s="85">
        <f t="shared" si="71"/>
        <v>0</v>
      </c>
      <c r="AD183" s="85">
        <f t="shared" si="71"/>
        <v>0</v>
      </c>
      <c r="AE183" s="85">
        <f t="shared" si="71"/>
        <v>0</v>
      </c>
      <c r="AF183" s="85">
        <f t="shared" si="71"/>
        <v>0</v>
      </c>
    </row>
    <row r="184" spans="1:32" x14ac:dyDescent="0.2">
      <c r="A184" s="4"/>
      <c r="B184" s="31"/>
      <c r="C184" s="42" t="s">
        <v>122</v>
      </c>
      <c r="D184" s="134" t="s">
        <v>123</v>
      </c>
      <c r="E184" s="32">
        <v>5000</v>
      </c>
      <c r="F184" s="20">
        <v>199</v>
      </c>
      <c r="G184" s="11">
        <f t="shared" si="54"/>
        <v>3.9800000000000002E-2</v>
      </c>
      <c r="H184" s="20">
        <v>300</v>
      </c>
      <c r="I184" s="20">
        <v>5000</v>
      </c>
      <c r="J184" s="11">
        <f t="shared" si="55"/>
        <v>1</v>
      </c>
      <c r="K184" s="24">
        <f>L184+T184+U184+AF184</f>
        <v>5000</v>
      </c>
      <c r="L184" s="19">
        <f>SUM(M184:S184)</f>
        <v>5000</v>
      </c>
      <c r="M184" s="19"/>
      <c r="N184" s="19"/>
      <c r="O184" s="19"/>
      <c r="P184" s="55">
        <v>5000</v>
      </c>
      <c r="Q184" s="19"/>
      <c r="R184" s="19"/>
      <c r="S184" s="19"/>
      <c r="T184" s="19"/>
      <c r="U184" s="19">
        <f>SUM(V184:AE184)</f>
        <v>0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</row>
    <row r="185" spans="1:32" x14ac:dyDescent="0.2">
      <c r="A185" s="4"/>
      <c r="B185" s="31"/>
      <c r="C185" s="42" t="s">
        <v>130</v>
      </c>
      <c r="D185" s="134" t="s">
        <v>131</v>
      </c>
      <c r="E185" s="32">
        <v>1700</v>
      </c>
      <c r="F185" s="20">
        <v>1064.96</v>
      </c>
      <c r="G185" s="11">
        <f t="shared" si="54"/>
        <v>0.62644705882352947</v>
      </c>
      <c r="H185" s="20">
        <v>1500</v>
      </c>
      <c r="I185" s="20">
        <v>1700</v>
      </c>
      <c r="J185" s="11">
        <f t="shared" si="55"/>
        <v>1</v>
      </c>
      <c r="K185" s="24">
        <f t="shared" ref="K185:K188" si="72">L185+T185+U185+AF185</f>
        <v>1700</v>
      </c>
      <c r="L185" s="19">
        <f>SUM(M185:S185)</f>
        <v>1700</v>
      </c>
      <c r="M185" s="19"/>
      <c r="N185" s="19"/>
      <c r="O185" s="19"/>
      <c r="P185" s="55">
        <v>1700</v>
      </c>
      <c r="Q185" s="19"/>
      <c r="R185" s="19"/>
      <c r="S185" s="19"/>
      <c r="T185" s="19"/>
      <c r="U185" s="19">
        <f>SUM(V185:AE185)</f>
        <v>0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</row>
    <row r="186" spans="1:32" x14ac:dyDescent="0.2">
      <c r="A186" s="4"/>
      <c r="B186" s="31"/>
      <c r="C186" s="42" t="s">
        <v>124</v>
      </c>
      <c r="D186" s="134" t="s">
        <v>125</v>
      </c>
      <c r="E186" s="32">
        <v>6000</v>
      </c>
      <c r="F186" s="20">
        <v>2337.5500000000002</v>
      </c>
      <c r="G186" s="11">
        <f t="shared" si="54"/>
        <v>0.38959166666666667</v>
      </c>
      <c r="H186" s="20">
        <v>3500</v>
      </c>
      <c r="I186" s="20">
        <v>6000</v>
      </c>
      <c r="J186" s="11">
        <f t="shared" si="55"/>
        <v>1</v>
      </c>
      <c r="K186" s="24">
        <f t="shared" si="72"/>
        <v>6000</v>
      </c>
      <c r="L186" s="19">
        <f>SUM(M186:S186)</f>
        <v>6000</v>
      </c>
      <c r="M186" s="19"/>
      <c r="N186" s="19"/>
      <c r="O186" s="19"/>
      <c r="P186" s="55">
        <v>6000</v>
      </c>
      <c r="Q186" s="19"/>
      <c r="R186" s="19"/>
      <c r="S186" s="19"/>
      <c r="T186" s="19"/>
      <c r="U186" s="19">
        <f>SUM(V186:AE186)</f>
        <v>0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</row>
    <row r="187" spans="1:32" ht="22.5" x14ac:dyDescent="0.2">
      <c r="A187" s="4"/>
      <c r="B187" s="31"/>
      <c r="C187" s="42" t="s">
        <v>147</v>
      </c>
      <c r="D187" s="134" t="s">
        <v>148</v>
      </c>
      <c r="E187" s="32">
        <v>1000</v>
      </c>
      <c r="F187" s="20">
        <v>542.42999999999995</v>
      </c>
      <c r="G187" s="11">
        <f t="shared" si="54"/>
        <v>0.54242999999999997</v>
      </c>
      <c r="H187" s="20">
        <v>723.24</v>
      </c>
      <c r="I187" s="20">
        <v>1000</v>
      </c>
      <c r="J187" s="11">
        <f t="shared" si="55"/>
        <v>1</v>
      </c>
      <c r="K187" s="24">
        <f t="shared" si="72"/>
        <v>1000</v>
      </c>
      <c r="L187" s="29">
        <f>SUM(M187:S187)</f>
        <v>1000</v>
      </c>
      <c r="M187" s="29"/>
      <c r="N187" s="29"/>
      <c r="O187" s="29"/>
      <c r="P187" s="56">
        <v>1000</v>
      </c>
      <c r="Q187" s="29"/>
      <c r="R187" s="29"/>
      <c r="S187" s="29"/>
      <c r="T187" s="29"/>
      <c r="U187" s="29">
        <f>SUM(V187:AE187)</f>
        <v>0</v>
      </c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</row>
    <row r="188" spans="1:32" ht="22.5" x14ac:dyDescent="0.2">
      <c r="A188" s="4"/>
      <c r="B188" s="31"/>
      <c r="C188" s="33" t="s">
        <v>149</v>
      </c>
      <c r="D188" s="134" t="s">
        <v>150</v>
      </c>
      <c r="E188" s="32">
        <v>0</v>
      </c>
      <c r="F188" s="20">
        <v>0</v>
      </c>
      <c r="G188" s="11">
        <v>0</v>
      </c>
      <c r="H188" s="20">
        <v>0</v>
      </c>
      <c r="I188" s="20">
        <v>40000</v>
      </c>
      <c r="J188" s="11">
        <v>0</v>
      </c>
      <c r="K188" s="24">
        <f t="shared" si="72"/>
        <v>0</v>
      </c>
      <c r="L188" s="19">
        <f>SUM(M188:S188)</f>
        <v>0</v>
      </c>
      <c r="M188" s="19"/>
      <c r="N188" s="19"/>
      <c r="O188" s="19"/>
      <c r="P188" s="101">
        <v>0</v>
      </c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</row>
    <row r="189" spans="1:32" ht="22.5" x14ac:dyDescent="0.2">
      <c r="A189" s="3"/>
      <c r="B189" s="165" t="s">
        <v>214</v>
      </c>
      <c r="C189" s="166"/>
      <c r="D189" s="167" t="s">
        <v>215</v>
      </c>
      <c r="E189" s="168">
        <f>E190+E191+E192+E193+E194</f>
        <v>90000</v>
      </c>
      <c r="F189" s="168">
        <f>F190+F191+F192+F193+F194</f>
        <v>90000</v>
      </c>
      <c r="G189" s="170">
        <f t="shared" si="54"/>
        <v>1</v>
      </c>
      <c r="H189" s="168">
        <f>H190+H191+H192+H193+H194</f>
        <v>90000</v>
      </c>
      <c r="I189" s="168">
        <f>I190+I191+I192+I193+I194</f>
        <v>40000</v>
      </c>
      <c r="J189" s="170">
        <f t="shared" si="55"/>
        <v>0.44444444444444442</v>
      </c>
      <c r="K189" s="114">
        <f t="shared" ref="K189:AF189" si="73">K190+K191+K192+K193+K194</f>
        <v>60000</v>
      </c>
      <c r="L189" s="92">
        <f t="shared" si="73"/>
        <v>60000</v>
      </c>
      <c r="M189" s="92">
        <f t="shared" si="73"/>
        <v>0</v>
      </c>
      <c r="N189" s="92">
        <f t="shared" si="73"/>
        <v>0</v>
      </c>
      <c r="O189" s="92"/>
      <c r="P189" s="92">
        <f t="shared" si="73"/>
        <v>60000</v>
      </c>
      <c r="Q189" s="92">
        <f t="shared" si="73"/>
        <v>0</v>
      </c>
      <c r="R189" s="92">
        <f t="shared" si="73"/>
        <v>0</v>
      </c>
      <c r="S189" s="93">
        <f>S190+S191+S192+S193+S194</f>
        <v>0</v>
      </c>
      <c r="T189" s="92">
        <f t="shared" si="73"/>
        <v>0</v>
      </c>
      <c r="U189" s="92">
        <f t="shared" si="73"/>
        <v>0</v>
      </c>
      <c r="V189" s="92">
        <f t="shared" si="73"/>
        <v>0</v>
      </c>
      <c r="W189" s="92">
        <f t="shared" si="73"/>
        <v>0</v>
      </c>
      <c r="X189" s="92">
        <f t="shared" si="73"/>
        <v>0</v>
      </c>
      <c r="Y189" s="92">
        <f t="shared" si="73"/>
        <v>0</v>
      </c>
      <c r="Z189" s="92">
        <f t="shared" si="73"/>
        <v>0</v>
      </c>
      <c r="AA189" s="92">
        <f t="shared" si="73"/>
        <v>0</v>
      </c>
      <c r="AB189" s="92">
        <f t="shared" si="73"/>
        <v>0</v>
      </c>
      <c r="AC189" s="92">
        <f t="shared" si="73"/>
        <v>0</v>
      </c>
      <c r="AD189" s="92">
        <f t="shared" si="73"/>
        <v>0</v>
      </c>
      <c r="AE189" s="92">
        <f t="shared" si="73"/>
        <v>0</v>
      </c>
      <c r="AF189" s="92">
        <f t="shared" si="73"/>
        <v>0</v>
      </c>
    </row>
    <row r="190" spans="1:32" ht="67.5" x14ac:dyDescent="0.2">
      <c r="A190" s="4"/>
      <c r="B190" s="31"/>
      <c r="C190" s="42" t="s">
        <v>77</v>
      </c>
      <c r="D190" s="134" t="s">
        <v>216</v>
      </c>
      <c r="E190" s="32">
        <v>90000</v>
      </c>
      <c r="F190" s="20">
        <v>90000</v>
      </c>
      <c r="G190" s="11">
        <f t="shared" si="54"/>
        <v>1</v>
      </c>
      <c r="H190" s="20">
        <v>90000</v>
      </c>
      <c r="I190" s="20">
        <v>40000</v>
      </c>
      <c r="J190" s="11">
        <f t="shared" si="55"/>
        <v>0.44444444444444442</v>
      </c>
      <c r="K190" s="24">
        <f>L190+T190+U190+AF190</f>
        <v>60000</v>
      </c>
      <c r="L190" s="19">
        <f t="shared" ref="L190:L194" si="74">SUM(M190:S190)</f>
        <v>60000</v>
      </c>
      <c r="M190" s="19"/>
      <c r="N190" s="19"/>
      <c r="O190" s="19"/>
      <c r="P190" s="101">
        <v>60000</v>
      </c>
      <c r="Q190" s="19"/>
      <c r="R190" s="19"/>
      <c r="S190" s="19"/>
      <c r="T190" s="19"/>
      <c r="U190" s="19">
        <f>SUM(V190:AE190)</f>
        <v>0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</row>
    <row r="191" spans="1:32" hidden="1" x14ac:dyDescent="0.2">
      <c r="A191" s="4"/>
      <c r="B191" s="31"/>
      <c r="C191" s="42" t="s">
        <v>118</v>
      </c>
      <c r="D191" s="134" t="s">
        <v>119</v>
      </c>
      <c r="E191" s="32"/>
      <c r="F191" s="20"/>
      <c r="G191" s="11">
        <v>0</v>
      </c>
      <c r="H191" s="20"/>
      <c r="I191" s="20"/>
      <c r="J191" s="11">
        <v>0</v>
      </c>
      <c r="K191" s="24">
        <f t="shared" ref="K191:K194" si="75">L191+T191+U191+AF191</f>
        <v>0</v>
      </c>
      <c r="L191" s="19">
        <f t="shared" si="74"/>
        <v>0</v>
      </c>
      <c r="M191" s="19"/>
      <c r="N191" s="19"/>
      <c r="O191" s="19"/>
      <c r="P191" s="19"/>
      <c r="Q191" s="19"/>
      <c r="R191" s="19"/>
      <c r="S191" s="19"/>
      <c r="T191" s="19"/>
      <c r="U191" s="19">
        <f>SUM(V191:AE191)</f>
        <v>0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</row>
    <row r="192" spans="1:32" hidden="1" x14ac:dyDescent="0.2">
      <c r="A192" s="4"/>
      <c r="B192" s="31"/>
      <c r="C192" s="42" t="s">
        <v>120</v>
      </c>
      <c r="D192" s="134" t="s">
        <v>121</v>
      </c>
      <c r="E192" s="32"/>
      <c r="F192" s="20"/>
      <c r="G192" s="11">
        <v>0</v>
      </c>
      <c r="H192" s="20"/>
      <c r="I192" s="20"/>
      <c r="J192" s="11">
        <v>0</v>
      </c>
      <c r="K192" s="24">
        <f t="shared" si="75"/>
        <v>0</v>
      </c>
      <c r="L192" s="19">
        <f t="shared" si="74"/>
        <v>0</v>
      </c>
      <c r="M192" s="19"/>
      <c r="N192" s="19"/>
      <c r="O192" s="19"/>
      <c r="P192" s="19"/>
      <c r="Q192" s="19"/>
      <c r="R192" s="19"/>
      <c r="S192" s="19"/>
      <c r="T192" s="19"/>
      <c r="U192" s="19">
        <f>SUM(V192:AE192)</f>
        <v>0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</row>
    <row r="193" spans="1:32" hidden="1" x14ac:dyDescent="0.2">
      <c r="A193" s="4"/>
      <c r="B193" s="31"/>
      <c r="C193" s="42" t="s">
        <v>128</v>
      </c>
      <c r="D193" s="134" t="s">
        <v>129</v>
      </c>
      <c r="E193" s="32"/>
      <c r="F193" s="20"/>
      <c r="G193" s="11">
        <v>0</v>
      </c>
      <c r="H193" s="20"/>
      <c r="I193" s="20"/>
      <c r="J193" s="11">
        <v>0</v>
      </c>
      <c r="K193" s="24">
        <f t="shared" si="75"/>
        <v>0</v>
      </c>
      <c r="L193" s="19">
        <f t="shared" si="74"/>
        <v>0</v>
      </c>
      <c r="M193" s="19"/>
      <c r="N193" s="19"/>
      <c r="O193" s="19"/>
      <c r="P193" s="19"/>
      <c r="Q193" s="19"/>
      <c r="R193" s="19"/>
      <c r="S193" s="19"/>
      <c r="T193" s="19"/>
      <c r="U193" s="19">
        <f>SUM(V193:AE193)</f>
        <v>0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</row>
    <row r="194" spans="1:32" hidden="1" x14ac:dyDescent="0.2">
      <c r="A194" s="4"/>
      <c r="B194" s="31"/>
      <c r="C194" s="42" t="s">
        <v>124</v>
      </c>
      <c r="D194" s="134" t="s">
        <v>125</v>
      </c>
      <c r="E194" s="32"/>
      <c r="F194" s="20"/>
      <c r="G194" s="11">
        <v>0</v>
      </c>
      <c r="H194" s="20"/>
      <c r="I194" s="20"/>
      <c r="J194" s="11">
        <v>0</v>
      </c>
      <c r="K194" s="24">
        <f t="shared" si="75"/>
        <v>0</v>
      </c>
      <c r="L194" s="19">
        <f t="shared" si="74"/>
        <v>0</v>
      </c>
      <c r="M194" s="19"/>
      <c r="N194" s="19"/>
      <c r="O194" s="19"/>
      <c r="P194" s="19"/>
      <c r="Q194" s="19"/>
      <c r="R194" s="19"/>
      <c r="S194" s="19"/>
      <c r="T194" s="19"/>
      <c r="U194" s="19">
        <f>SUM(V194:AE194)</f>
        <v>0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</row>
    <row r="195" spans="1:32" ht="15.75" x14ac:dyDescent="0.2">
      <c r="A195" s="3"/>
      <c r="B195" s="165" t="s">
        <v>217</v>
      </c>
      <c r="C195" s="166"/>
      <c r="D195" s="167" t="s">
        <v>218</v>
      </c>
      <c r="E195" s="168">
        <f>E196+E197+E198+E199</f>
        <v>31700</v>
      </c>
      <c r="F195" s="168">
        <f>F196+F197+F198+F199</f>
        <v>17867.32</v>
      </c>
      <c r="G195" s="170">
        <f t="shared" si="54"/>
        <v>0.56363785488958995</v>
      </c>
      <c r="H195" s="168">
        <f>H196+H197+H198+H199</f>
        <v>27570.533333333333</v>
      </c>
      <c r="I195" s="168">
        <f>I196+I197+I198+I199</f>
        <v>38200</v>
      </c>
      <c r="J195" s="170">
        <f t="shared" si="55"/>
        <v>1.2050473186119874</v>
      </c>
      <c r="K195" s="109" t="e">
        <f>K196+K197+K198+K199+#REF!</f>
        <v>#REF!</v>
      </c>
      <c r="L195" s="85" t="e">
        <f>L196+L197+L198+L199+#REF!</f>
        <v>#REF!</v>
      </c>
      <c r="M195" s="85" t="e">
        <f>M196+M197+M198+M199+#REF!</f>
        <v>#REF!</v>
      </c>
      <c r="N195" s="85" t="e">
        <f>N196+N197+N198+N199+#REF!</f>
        <v>#REF!</v>
      </c>
      <c r="O195" s="85"/>
      <c r="P195" s="85" t="e">
        <f>P196+P197+P198+P199+#REF!</f>
        <v>#REF!</v>
      </c>
      <c r="Q195" s="85" t="e">
        <f>Q196+Q197+Q198+Q199+#REF!</f>
        <v>#REF!</v>
      </c>
      <c r="R195" s="85" t="e">
        <f>R196+R197+R198+R199+#REF!</f>
        <v>#REF!</v>
      </c>
      <c r="S195" s="86" t="e">
        <f>S196+S197+S198+S199+#REF!</f>
        <v>#REF!</v>
      </c>
      <c r="T195" s="85" t="e">
        <f>T196+T197+T198+T199+#REF!</f>
        <v>#REF!</v>
      </c>
      <c r="U195" s="85" t="e">
        <f>U196+U197+U198+U199+#REF!</f>
        <v>#REF!</v>
      </c>
      <c r="V195" s="85" t="e">
        <f>V196+V197+V198+V199+#REF!</f>
        <v>#REF!</v>
      </c>
      <c r="W195" s="85" t="e">
        <f>W196+W197+W198+W199+#REF!</f>
        <v>#REF!</v>
      </c>
      <c r="X195" s="85" t="e">
        <f>X196+X197+X198+X199+#REF!</f>
        <v>#REF!</v>
      </c>
      <c r="Y195" s="85" t="e">
        <f>Y196+Y197+Y198+Y199+#REF!</f>
        <v>#REF!</v>
      </c>
      <c r="Z195" s="85" t="e">
        <f>Z196+Z197+Z198+Z199+#REF!</f>
        <v>#REF!</v>
      </c>
      <c r="AA195" s="85" t="e">
        <f>AA196+AA197+AA198+AA199+#REF!</f>
        <v>#REF!</v>
      </c>
      <c r="AB195" s="85" t="e">
        <f>AB196+AB197+AB198+AB199+#REF!</f>
        <v>#REF!</v>
      </c>
      <c r="AC195" s="85" t="e">
        <f>AC196+AC197+AC198+AC199+#REF!</f>
        <v>#REF!</v>
      </c>
      <c r="AD195" s="85" t="e">
        <f>AD196+AD197+AD198+AD199+#REF!</f>
        <v>#REF!</v>
      </c>
      <c r="AE195" s="85" t="e">
        <f>AE196+AE197+AE198+AE199+#REF!</f>
        <v>#REF!</v>
      </c>
      <c r="AF195" s="85" t="e">
        <f>AF196+AF197+AF198+AF199+#REF!</f>
        <v>#REF!</v>
      </c>
    </row>
    <row r="196" spans="1:32" ht="22.5" x14ac:dyDescent="0.2">
      <c r="A196" s="4"/>
      <c r="B196" s="31"/>
      <c r="C196" s="42" t="s">
        <v>171</v>
      </c>
      <c r="D196" s="134" t="s">
        <v>172</v>
      </c>
      <c r="E196" s="32">
        <v>10500</v>
      </c>
      <c r="F196" s="20">
        <v>7500</v>
      </c>
      <c r="G196" s="11">
        <f t="shared" si="54"/>
        <v>0.7142857142857143</v>
      </c>
      <c r="H196" s="20">
        <f>F196/3*4</f>
        <v>10000</v>
      </c>
      <c r="I196" s="20">
        <v>14000</v>
      </c>
      <c r="J196" s="11">
        <f t="shared" si="55"/>
        <v>1.3333333333333333</v>
      </c>
      <c r="K196" s="24">
        <f>L196+T196+U196+AF196</f>
        <v>10500</v>
      </c>
      <c r="L196" s="19">
        <f>SUM(M196:S196)</f>
        <v>10500</v>
      </c>
      <c r="M196" s="19"/>
      <c r="N196" s="19"/>
      <c r="O196" s="19"/>
      <c r="P196" s="19"/>
      <c r="Q196" s="19"/>
      <c r="R196" s="55">
        <v>10500</v>
      </c>
      <c r="S196" s="19"/>
      <c r="T196" s="19"/>
      <c r="U196" s="19">
        <f>SUM(V196:AE196)</f>
        <v>0</v>
      </c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</row>
    <row r="197" spans="1:32" x14ac:dyDescent="0.2">
      <c r="A197" s="4"/>
      <c r="B197" s="31"/>
      <c r="C197" s="42" t="s">
        <v>122</v>
      </c>
      <c r="D197" s="134" t="s">
        <v>123</v>
      </c>
      <c r="E197" s="32">
        <v>13000</v>
      </c>
      <c r="F197" s="20">
        <v>5506.42</v>
      </c>
      <c r="G197" s="11">
        <f t="shared" si="54"/>
        <v>0.42357076923076925</v>
      </c>
      <c r="H197" s="20">
        <v>10000</v>
      </c>
      <c r="I197" s="20">
        <v>16000</v>
      </c>
      <c r="J197" s="11">
        <f t="shared" si="55"/>
        <v>1.2307692307692308</v>
      </c>
      <c r="K197" s="24">
        <f t="shared" ref="K197:K199" si="76">L197+T197+U197+AF197</f>
        <v>13000</v>
      </c>
      <c r="L197" s="19">
        <f>SUM(M197:S197)</f>
        <v>13000</v>
      </c>
      <c r="M197" s="19"/>
      <c r="N197" s="19"/>
      <c r="O197" s="19"/>
      <c r="P197" s="19"/>
      <c r="Q197" s="19"/>
      <c r="R197" s="101">
        <v>13000</v>
      </c>
      <c r="S197" s="19"/>
      <c r="T197" s="19"/>
      <c r="U197" s="19">
        <f>SUM(V197:AE197)</f>
        <v>0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</row>
    <row r="198" spans="1:32" x14ac:dyDescent="0.2">
      <c r="A198" s="4"/>
      <c r="B198" s="31"/>
      <c r="C198" s="42" t="s">
        <v>124</v>
      </c>
      <c r="D198" s="134" t="s">
        <v>125</v>
      </c>
      <c r="E198" s="32">
        <v>4000</v>
      </c>
      <c r="F198" s="20">
        <v>2677.9</v>
      </c>
      <c r="G198" s="11">
        <f t="shared" si="54"/>
        <v>0.66947500000000004</v>
      </c>
      <c r="H198" s="20">
        <f t="shared" ref="H198" si="77">F198/3*4</f>
        <v>3570.5333333333333</v>
      </c>
      <c r="I198" s="20">
        <v>4000</v>
      </c>
      <c r="J198" s="11">
        <f t="shared" si="55"/>
        <v>1</v>
      </c>
      <c r="K198" s="24">
        <f t="shared" si="76"/>
        <v>4000</v>
      </c>
      <c r="L198" s="19">
        <f>SUM(M198:S198)</f>
        <v>4000</v>
      </c>
      <c r="M198" s="19"/>
      <c r="N198" s="19"/>
      <c r="O198" s="19"/>
      <c r="P198" s="19"/>
      <c r="Q198" s="19"/>
      <c r="R198" s="55">
        <v>4000</v>
      </c>
      <c r="S198" s="19"/>
      <c r="T198" s="19"/>
      <c r="U198" s="19">
        <f>SUM(V198:AE198)</f>
        <v>0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</row>
    <row r="199" spans="1:32" x14ac:dyDescent="0.2">
      <c r="A199" s="4"/>
      <c r="B199" s="31"/>
      <c r="C199" s="42" t="s">
        <v>126</v>
      </c>
      <c r="D199" s="134" t="s">
        <v>127</v>
      </c>
      <c r="E199" s="32">
        <v>4200</v>
      </c>
      <c r="F199" s="20">
        <v>2183</v>
      </c>
      <c r="G199" s="11">
        <f t="shared" si="54"/>
        <v>0.51976190476190476</v>
      </c>
      <c r="H199" s="20">
        <v>4000</v>
      </c>
      <c r="I199" s="20">
        <v>4200</v>
      </c>
      <c r="J199" s="11">
        <f t="shared" si="55"/>
        <v>1</v>
      </c>
      <c r="K199" s="24">
        <f t="shared" si="76"/>
        <v>4200</v>
      </c>
      <c r="L199" s="19">
        <f>SUM(M199:S199)</f>
        <v>4200</v>
      </c>
      <c r="M199" s="19"/>
      <c r="N199" s="19"/>
      <c r="O199" s="19"/>
      <c r="P199" s="19"/>
      <c r="Q199" s="19"/>
      <c r="R199" s="101">
        <v>4200</v>
      </c>
      <c r="S199" s="19"/>
      <c r="T199" s="19"/>
      <c r="U199" s="19">
        <f>SUM(V199:AE199)</f>
        <v>0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</row>
    <row r="200" spans="1:32" ht="30" customHeight="1" x14ac:dyDescent="0.2">
      <c r="A200" s="155" t="s">
        <v>219</v>
      </c>
      <c r="B200" s="156"/>
      <c r="C200" s="157"/>
      <c r="D200" s="158" t="s">
        <v>220</v>
      </c>
      <c r="E200" s="159">
        <f>E201</f>
        <v>376000</v>
      </c>
      <c r="F200" s="159">
        <f t="shared" ref="F200:AF200" si="78">F201</f>
        <v>199566.37</v>
      </c>
      <c r="G200" s="87">
        <f t="shared" si="54"/>
        <v>0.53076162234042557</v>
      </c>
      <c r="H200" s="159">
        <f t="shared" si="78"/>
        <v>375000</v>
      </c>
      <c r="I200" s="159">
        <f t="shared" si="78"/>
        <v>376000</v>
      </c>
      <c r="J200" s="87">
        <f t="shared" si="55"/>
        <v>1</v>
      </c>
      <c r="K200" s="108">
        <f t="shared" si="78"/>
        <v>376000</v>
      </c>
      <c r="L200" s="12">
        <f t="shared" si="78"/>
        <v>376000</v>
      </c>
      <c r="M200" s="12">
        <f t="shared" si="78"/>
        <v>0</v>
      </c>
      <c r="N200" s="12">
        <f t="shared" si="78"/>
        <v>0</v>
      </c>
      <c r="O200" s="12"/>
      <c r="P200" s="12">
        <f t="shared" si="78"/>
        <v>0</v>
      </c>
      <c r="Q200" s="12">
        <f t="shared" si="78"/>
        <v>376000</v>
      </c>
      <c r="R200" s="12">
        <f t="shared" si="78"/>
        <v>0</v>
      </c>
      <c r="S200" s="16">
        <f>S201</f>
        <v>0</v>
      </c>
      <c r="T200" s="12">
        <f t="shared" si="78"/>
        <v>0</v>
      </c>
      <c r="U200" s="12">
        <f t="shared" si="78"/>
        <v>0</v>
      </c>
      <c r="V200" s="12">
        <f t="shared" si="78"/>
        <v>0</v>
      </c>
      <c r="W200" s="12">
        <f t="shared" si="78"/>
        <v>0</v>
      </c>
      <c r="X200" s="12">
        <f t="shared" si="78"/>
        <v>0</v>
      </c>
      <c r="Y200" s="12">
        <f t="shared" si="78"/>
        <v>0</v>
      </c>
      <c r="Z200" s="12">
        <f t="shared" si="78"/>
        <v>0</v>
      </c>
      <c r="AA200" s="12">
        <f t="shared" si="78"/>
        <v>0</v>
      </c>
      <c r="AB200" s="12">
        <f t="shared" si="78"/>
        <v>0</v>
      </c>
      <c r="AC200" s="12">
        <f t="shared" si="78"/>
        <v>0</v>
      </c>
      <c r="AD200" s="12">
        <f t="shared" si="78"/>
        <v>0</v>
      </c>
      <c r="AE200" s="12">
        <f t="shared" si="78"/>
        <v>0</v>
      </c>
      <c r="AF200" s="12">
        <f t="shared" si="78"/>
        <v>0</v>
      </c>
    </row>
    <row r="201" spans="1:32" ht="33.75" x14ac:dyDescent="0.2">
      <c r="A201" s="3"/>
      <c r="B201" s="165" t="s">
        <v>221</v>
      </c>
      <c r="C201" s="166"/>
      <c r="D201" s="167" t="s">
        <v>222</v>
      </c>
      <c r="E201" s="168">
        <f>E203+E202</f>
        <v>376000</v>
      </c>
      <c r="F201" s="168">
        <f>F203+F202</f>
        <v>199566.37</v>
      </c>
      <c r="G201" s="170">
        <f t="shared" si="54"/>
        <v>0.53076162234042557</v>
      </c>
      <c r="H201" s="168">
        <f>H203+H202</f>
        <v>375000</v>
      </c>
      <c r="I201" s="168">
        <f>I203+I202</f>
        <v>376000</v>
      </c>
      <c r="J201" s="170">
        <f t="shared" si="55"/>
        <v>1</v>
      </c>
      <c r="K201" s="109">
        <f>K203+K202</f>
        <v>376000</v>
      </c>
      <c r="L201" s="94">
        <f>L203+L202</f>
        <v>376000</v>
      </c>
      <c r="M201" s="94">
        <f t="shared" ref="M201:AF201" si="79">M203</f>
        <v>0</v>
      </c>
      <c r="N201" s="94">
        <f t="shared" si="79"/>
        <v>0</v>
      </c>
      <c r="O201" s="94"/>
      <c r="P201" s="94">
        <f t="shared" si="79"/>
        <v>0</v>
      </c>
      <c r="Q201" s="94">
        <f>Q202+Q203</f>
        <v>376000</v>
      </c>
      <c r="R201" s="94">
        <f t="shared" si="79"/>
        <v>0</v>
      </c>
      <c r="S201" s="95">
        <f>S203</f>
        <v>0</v>
      </c>
      <c r="T201" s="94">
        <f t="shared" si="79"/>
        <v>0</v>
      </c>
      <c r="U201" s="94">
        <f t="shared" si="79"/>
        <v>0</v>
      </c>
      <c r="V201" s="94">
        <f t="shared" si="79"/>
        <v>0</v>
      </c>
      <c r="W201" s="94">
        <f t="shared" si="79"/>
        <v>0</v>
      </c>
      <c r="X201" s="94">
        <f t="shared" si="79"/>
        <v>0</v>
      </c>
      <c r="Y201" s="94">
        <f t="shared" si="79"/>
        <v>0</v>
      </c>
      <c r="Z201" s="94">
        <f t="shared" si="79"/>
        <v>0</v>
      </c>
      <c r="AA201" s="94">
        <f t="shared" si="79"/>
        <v>0</v>
      </c>
      <c r="AB201" s="94">
        <f t="shared" si="79"/>
        <v>0</v>
      </c>
      <c r="AC201" s="94">
        <f t="shared" si="79"/>
        <v>0</v>
      </c>
      <c r="AD201" s="94">
        <f t="shared" si="79"/>
        <v>0</v>
      </c>
      <c r="AE201" s="94">
        <f t="shared" si="79"/>
        <v>0</v>
      </c>
      <c r="AF201" s="94">
        <f t="shared" si="79"/>
        <v>0</v>
      </c>
    </row>
    <row r="202" spans="1:32" s="44" customFormat="1" ht="33.75" x14ac:dyDescent="0.2">
      <c r="A202" s="43"/>
      <c r="B202" s="118"/>
      <c r="C202" s="137" t="s">
        <v>358</v>
      </c>
      <c r="D202" s="138" t="s">
        <v>359</v>
      </c>
      <c r="E202" s="45">
        <v>16000</v>
      </c>
      <c r="F202" s="45">
        <v>0</v>
      </c>
      <c r="G202" s="14">
        <v>0</v>
      </c>
      <c r="H202" s="45">
        <v>15000</v>
      </c>
      <c r="I202" s="45">
        <v>16000</v>
      </c>
      <c r="J202" s="14">
        <v>0</v>
      </c>
      <c r="K202" s="51">
        <f>L202+T202+U202+AF202</f>
        <v>16000</v>
      </c>
      <c r="L202" s="45">
        <f>SUM(Q202)</f>
        <v>16000</v>
      </c>
      <c r="M202" s="45"/>
      <c r="N202" s="45"/>
      <c r="O202" s="45"/>
      <c r="P202" s="45"/>
      <c r="Q202" s="45">
        <v>16000</v>
      </c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:32" ht="45" x14ac:dyDescent="0.2">
      <c r="A203" s="4"/>
      <c r="B203" s="31"/>
      <c r="C203" s="42" t="s">
        <v>223</v>
      </c>
      <c r="D203" s="134" t="s">
        <v>224</v>
      </c>
      <c r="E203" s="32">
        <v>360000</v>
      </c>
      <c r="F203" s="20">
        <v>199566.37</v>
      </c>
      <c r="G203" s="11">
        <f t="shared" si="54"/>
        <v>0.55435102777777778</v>
      </c>
      <c r="H203" s="20">
        <v>360000</v>
      </c>
      <c r="I203" s="20">
        <v>360000</v>
      </c>
      <c r="J203" s="11">
        <f t="shared" si="55"/>
        <v>1</v>
      </c>
      <c r="K203" s="51">
        <f>L203+T203+U203+AF203</f>
        <v>360000</v>
      </c>
      <c r="L203" s="19">
        <f>SUM(M203:S203)</f>
        <v>360000</v>
      </c>
      <c r="M203" s="19"/>
      <c r="N203" s="19"/>
      <c r="O203" s="19"/>
      <c r="P203" s="19"/>
      <c r="Q203" s="101">
        <v>360000</v>
      </c>
      <c r="R203" s="19"/>
      <c r="S203" s="19"/>
      <c r="T203" s="19"/>
      <c r="U203" s="19">
        <f>SUM(V203:AE203)</f>
        <v>0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</row>
    <row r="204" spans="1:32" ht="21.75" customHeight="1" x14ac:dyDescent="0.2">
      <c r="A204" s="155" t="s">
        <v>38</v>
      </c>
      <c r="B204" s="156"/>
      <c r="C204" s="157"/>
      <c r="D204" s="158" t="s">
        <v>39</v>
      </c>
      <c r="E204" s="159">
        <f>E205+E207+E210</f>
        <v>260000</v>
      </c>
      <c r="F204" s="159">
        <f t="shared" ref="F204:AF204" si="80">F205+F207+F210</f>
        <v>0</v>
      </c>
      <c r="G204" s="87">
        <f t="shared" si="54"/>
        <v>0</v>
      </c>
      <c r="H204" s="159">
        <f t="shared" si="80"/>
        <v>0</v>
      </c>
      <c r="I204" s="159">
        <f t="shared" si="80"/>
        <v>370000</v>
      </c>
      <c r="J204" s="87">
        <f t="shared" si="55"/>
        <v>1.4230769230769231</v>
      </c>
      <c r="K204" s="108">
        <f t="shared" si="80"/>
        <v>360000</v>
      </c>
      <c r="L204" s="12">
        <f t="shared" si="80"/>
        <v>360000</v>
      </c>
      <c r="M204" s="12">
        <f t="shared" si="80"/>
        <v>0</v>
      </c>
      <c r="N204" s="12">
        <f t="shared" si="80"/>
        <v>0</v>
      </c>
      <c r="O204" s="12"/>
      <c r="P204" s="12">
        <f t="shared" si="80"/>
        <v>0</v>
      </c>
      <c r="Q204" s="12">
        <f t="shared" si="80"/>
        <v>350000</v>
      </c>
      <c r="R204" s="12">
        <f t="shared" si="80"/>
        <v>0</v>
      </c>
      <c r="S204" s="16">
        <f>S205+S207+S210</f>
        <v>0</v>
      </c>
      <c r="T204" s="12">
        <f t="shared" si="80"/>
        <v>0</v>
      </c>
      <c r="U204" s="12">
        <f t="shared" si="80"/>
        <v>0</v>
      </c>
      <c r="V204" s="12">
        <f t="shared" si="80"/>
        <v>0</v>
      </c>
      <c r="W204" s="12">
        <f t="shared" si="80"/>
        <v>0</v>
      </c>
      <c r="X204" s="12">
        <f t="shared" si="80"/>
        <v>0</v>
      </c>
      <c r="Y204" s="12">
        <f t="shared" si="80"/>
        <v>0</v>
      </c>
      <c r="Z204" s="12">
        <f t="shared" si="80"/>
        <v>0</v>
      </c>
      <c r="AA204" s="12">
        <f t="shared" si="80"/>
        <v>0</v>
      </c>
      <c r="AB204" s="12">
        <f t="shared" si="80"/>
        <v>0</v>
      </c>
      <c r="AC204" s="12">
        <f t="shared" si="80"/>
        <v>0</v>
      </c>
      <c r="AD204" s="12">
        <f t="shared" si="80"/>
        <v>0</v>
      </c>
      <c r="AE204" s="12">
        <f t="shared" si="80"/>
        <v>0</v>
      </c>
      <c r="AF204" s="12">
        <f t="shared" si="80"/>
        <v>0</v>
      </c>
    </row>
    <row r="205" spans="1:32" ht="33.75" hidden="1" x14ac:dyDescent="0.2">
      <c r="A205" s="3"/>
      <c r="B205" s="116" t="s">
        <v>40</v>
      </c>
      <c r="C205" s="132"/>
      <c r="D205" s="133" t="s">
        <v>41</v>
      </c>
      <c r="E205" s="110">
        <f>E206</f>
        <v>0</v>
      </c>
      <c r="F205" s="110">
        <f t="shared" ref="F205:AF205" si="81">F206</f>
        <v>0</v>
      </c>
      <c r="G205" s="87">
        <v>0</v>
      </c>
      <c r="H205" s="110">
        <f t="shared" si="81"/>
        <v>0</v>
      </c>
      <c r="I205" s="110">
        <f t="shared" si="81"/>
        <v>0</v>
      </c>
      <c r="J205" s="87">
        <v>0</v>
      </c>
      <c r="K205" s="109">
        <f t="shared" si="81"/>
        <v>0</v>
      </c>
      <c r="L205" s="85">
        <f t="shared" si="81"/>
        <v>0</v>
      </c>
      <c r="M205" s="85">
        <f t="shared" si="81"/>
        <v>0</v>
      </c>
      <c r="N205" s="85">
        <f t="shared" si="81"/>
        <v>0</v>
      </c>
      <c r="O205" s="85"/>
      <c r="P205" s="85">
        <f t="shared" si="81"/>
        <v>0</v>
      </c>
      <c r="Q205" s="85">
        <f t="shared" si="81"/>
        <v>0</v>
      </c>
      <c r="R205" s="85">
        <f t="shared" si="81"/>
        <v>0</v>
      </c>
      <c r="S205" s="86">
        <f>S206</f>
        <v>0</v>
      </c>
      <c r="T205" s="85">
        <f t="shared" si="81"/>
        <v>0</v>
      </c>
      <c r="U205" s="85">
        <f t="shared" si="81"/>
        <v>0</v>
      </c>
      <c r="V205" s="85">
        <f t="shared" si="81"/>
        <v>0</v>
      </c>
      <c r="W205" s="85">
        <f t="shared" si="81"/>
        <v>0</v>
      </c>
      <c r="X205" s="85">
        <f t="shared" si="81"/>
        <v>0</v>
      </c>
      <c r="Y205" s="85">
        <f t="shared" si="81"/>
        <v>0</v>
      </c>
      <c r="Z205" s="85">
        <f t="shared" si="81"/>
        <v>0</v>
      </c>
      <c r="AA205" s="85">
        <f t="shared" si="81"/>
        <v>0</v>
      </c>
      <c r="AB205" s="85">
        <f t="shared" si="81"/>
        <v>0</v>
      </c>
      <c r="AC205" s="85">
        <f t="shared" si="81"/>
        <v>0</v>
      </c>
      <c r="AD205" s="85">
        <f t="shared" si="81"/>
        <v>0</v>
      </c>
      <c r="AE205" s="85">
        <f t="shared" si="81"/>
        <v>0</v>
      </c>
      <c r="AF205" s="85">
        <f t="shared" si="81"/>
        <v>0</v>
      </c>
    </row>
    <row r="206" spans="1:32" ht="33.75" hidden="1" x14ac:dyDescent="0.2">
      <c r="A206" s="4"/>
      <c r="B206" s="31"/>
      <c r="C206" s="42" t="s">
        <v>225</v>
      </c>
      <c r="D206" s="134" t="s">
        <v>226</v>
      </c>
      <c r="E206" s="32">
        <v>0</v>
      </c>
      <c r="F206" s="20">
        <v>0</v>
      </c>
      <c r="G206" s="11">
        <v>0</v>
      </c>
      <c r="H206" s="20">
        <v>0</v>
      </c>
      <c r="I206" s="20">
        <f>K206</f>
        <v>0</v>
      </c>
      <c r="J206" s="11">
        <v>0</v>
      </c>
      <c r="K206" s="24">
        <f>L206+T206+U206+AF206</f>
        <v>0</v>
      </c>
      <c r="L206" s="19">
        <f>SUM(M206:S206)</f>
        <v>0</v>
      </c>
      <c r="M206" s="19"/>
      <c r="N206" s="19"/>
      <c r="O206" s="19"/>
      <c r="P206" s="19"/>
      <c r="Q206" s="19"/>
      <c r="R206" s="19"/>
      <c r="S206" s="19"/>
      <c r="T206" s="19"/>
      <c r="U206" s="19">
        <f>SUM(V206:AE206)</f>
        <v>0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</row>
    <row r="207" spans="1:32" ht="15.75" hidden="1" x14ac:dyDescent="0.2">
      <c r="A207" s="3"/>
      <c r="B207" s="116" t="s">
        <v>42</v>
      </c>
      <c r="C207" s="132"/>
      <c r="D207" s="133" t="s">
        <v>43</v>
      </c>
      <c r="E207" s="110">
        <f>E208+E209</f>
        <v>0</v>
      </c>
      <c r="F207" s="110">
        <f t="shared" ref="F207:AF207" si="82">F208+F209</f>
        <v>0</v>
      </c>
      <c r="G207" s="87">
        <v>0</v>
      </c>
      <c r="H207" s="110">
        <f t="shared" si="82"/>
        <v>0</v>
      </c>
      <c r="I207" s="110">
        <f t="shared" si="82"/>
        <v>0</v>
      </c>
      <c r="J207" s="87">
        <v>0</v>
      </c>
      <c r="K207" s="109">
        <f t="shared" si="82"/>
        <v>0</v>
      </c>
      <c r="L207" s="85">
        <f t="shared" si="82"/>
        <v>0</v>
      </c>
      <c r="M207" s="85">
        <f t="shared" si="82"/>
        <v>0</v>
      </c>
      <c r="N207" s="85">
        <f t="shared" si="82"/>
        <v>0</v>
      </c>
      <c r="O207" s="85"/>
      <c r="P207" s="85">
        <f t="shared" si="82"/>
        <v>0</v>
      </c>
      <c r="Q207" s="85">
        <f t="shared" si="82"/>
        <v>0</v>
      </c>
      <c r="R207" s="85">
        <f t="shared" si="82"/>
        <v>0</v>
      </c>
      <c r="S207" s="86">
        <f>S208+S209</f>
        <v>0</v>
      </c>
      <c r="T207" s="85">
        <f t="shared" si="82"/>
        <v>0</v>
      </c>
      <c r="U207" s="85">
        <f t="shared" si="82"/>
        <v>0</v>
      </c>
      <c r="V207" s="85">
        <f t="shared" si="82"/>
        <v>0</v>
      </c>
      <c r="W207" s="85">
        <f t="shared" si="82"/>
        <v>0</v>
      </c>
      <c r="X207" s="85">
        <f t="shared" si="82"/>
        <v>0</v>
      </c>
      <c r="Y207" s="85">
        <f t="shared" si="82"/>
        <v>0</v>
      </c>
      <c r="Z207" s="85">
        <f t="shared" si="82"/>
        <v>0</v>
      </c>
      <c r="AA207" s="85">
        <f t="shared" si="82"/>
        <v>0</v>
      </c>
      <c r="AB207" s="85">
        <f t="shared" si="82"/>
        <v>0</v>
      </c>
      <c r="AC207" s="85">
        <f t="shared" si="82"/>
        <v>0</v>
      </c>
      <c r="AD207" s="85">
        <f t="shared" si="82"/>
        <v>0</v>
      </c>
      <c r="AE207" s="85">
        <f t="shared" si="82"/>
        <v>0</v>
      </c>
      <c r="AF207" s="85">
        <f t="shared" si="82"/>
        <v>0</v>
      </c>
    </row>
    <row r="208" spans="1:32" hidden="1" x14ac:dyDescent="0.2">
      <c r="A208" s="4"/>
      <c r="B208" s="31"/>
      <c r="C208" s="42" t="s">
        <v>122</v>
      </c>
      <c r="D208" s="134" t="s">
        <v>123</v>
      </c>
      <c r="E208" s="32">
        <v>0</v>
      </c>
      <c r="F208" s="20">
        <v>0</v>
      </c>
      <c r="G208" s="11">
        <v>0</v>
      </c>
      <c r="H208" s="20">
        <v>0</v>
      </c>
      <c r="I208" s="20">
        <f>K208</f>
        <v>0</v>
      </c>
      <c r="J208" s="11">
        <v>0</v>
      </c>
      <c r="K208" s="24">
        <f>L208+T208+U208+AF208</f>
        <v>0</v>
      </c>
      <c r="L208" s="19">
        <f>SUM(M208:S208)</f>
        <v>0</v>
      </c>
      <c r="M208" s="19"/>
      <c r="N208" s="19"/>
      <c r="O208" s="19"/>
      <c r="P208" s="19"/>
      <c r="Q208" s="19"/>
      <c r="R208" s="19"/>
      <c r="S208" s="19"/>
      <c r="T208" s="19"/>
      <c r="U208" s="19">
        <f>SUM(V208:AE208)</f>
        <v>0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</row>
    <row r="209" spans="1:32" hidden="1" x14ac:dyDescent="0.2">
      <c r="A209" s="4"/>
      <c r="B209" s="31"/>
      <c r="C209" s="42" t="s">
        <v>124</v>
      </c>
      <c r="D209" s="134" t="s">
        <v>125</v>
      </c>
      <c r="E209" s="32">
        <v>0</v>
      </c>
      <c r="F209" s="20">
        <v>0</v>
      </c>
      <c r="G209" s="11">
        <v>0</v>
      </c>
      <c r="H209" s="20">
        <v>0</v>
      </c>
      <c r="I209" s="20">
        <f>K209</f>
        <v>0</v>
      </c>
      <c r="J209" s="11">
        <v>0</v>
      </c>
      <c r="K209" s="24">
        <f>L209+T209+U209+AF209</f>
        <v>0</v>
      </c>
      <c r="L209" s="19">
        <f>SUM(M209:S209)</f>
        <v>0</v>
      </c>
      <c r="M209" s="19"/>
      <c r="N209" s="19"/>
      <c r="O209" s="19"/>
      <c r="P209" s="19"/>
      <c r="Q209" s="19"/>
      <c r="R209" s="19"/>
      <c r="S209" s="19"/>
      <c r="T209" s="19"/>
      <c r="U209" s="19">
        <f>SUM(V209:AE209)</f>
        <v>0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</row>
    <row r="210" spans="1:32" ht="15.75" x14ac:dyDescent="0.2">
      <c r="A210" s="3"/>
      <c r="B210" s="165" t="s">
        <v>227</v>
      </c>
      <c r="C210" s="166"/>
      <c r="D210" s="167" t="s">
        <v>228</v>
      </c>
      <c r="E210" s="168">
        <f>E211</f>
        <v>260000</v>
      </c>
      <c r="F210" s="168">
        <f t="shared" ref="F210:AF210" si="83">F211</f>
        <v>0</v>
      </c>
      <c r="G210" s="170">
        <f t="shared" ref="G210:G275" si="84">F210/E210</f>
        <v>0</v>
      </c>
      <c r="H210" s="168">
        <f t="shared" si="83"/>
        <v>0</v>
      </c>
      <c r="I210" s="168">
        <f t="shared" si="83"/>
        <v>370000</v>
      </c>
      <c r="J210" s="170">
        <f t="shared" ref="J210:J275" si="85">I210/E210</f>
        <v>1.4230769230769231</v>
      </c>
      <c r="K210" s="109">
        <f t="shared" si="83"/>
        <v>360000</v>
      </c>
      <c r="L210" s="85">
        <f t="shared" si="83"/>
        <v>360000</v>
      </c>
      <c r="M210" s="85">
        <f t="shared" si="83"/>
        <v>0</v>
      </c>
      <c r="N210" s="85">
        <f t="shared" si="83"/>
        <v>0</v>
      </c>
      <c r="O210" s="85"/>
      <c r="P210" s="85">
        <f t="shared" si="83"/>
        <v>0</v>
      </c>
      <c r="Q210" s="85">
        <f t="shared" si="83"/>
        <v>350000</v>
      </c>
      <c r="R210" s="85">
        <f t="shared" si="83"/>
        <v>0</v>
      </c>
      <c r="S210" s="86">
        <f>S211</f>
        <v>0</v>
      </c>
      <c r="T210" s="85">
        <f t="shared" si="83"/>
        <v>0</v>
      </c>
      <c r="U210" s="85">
        <f t="shared" si="83"/>
        <v>0</v>
      </c>
      <c r="V210" s="85">
        <f t="shared" si="83"/>
        <v>0</v>
      </c>
      <c r="W210" s="85">
        <f t="shared" si="83"/>
        <v>0</v>
      </c>
      <c r="X210" s="85">
        <f t="shared" si="83"/>
        <v>0</v>
      </c>
      <c r="Y210" s="85">
        <f t="shared" si="83"/>
        <v>0</v>
      </c>
      <c r="Z210" s="85">
        <f t="shared" si="83"/>
        <v>0</v>
      </c>
      <c r="AA210" s="85">
        <f t="shared" si="83"/>
        <v>0</v>
      </c>
      <c r="AB210" s="85">
        <f t="shared" si="83"/>
        <v>0</v>
      </c>
      <c r="AC210" s="85">
        <f t="shared" si="83"/>
        <v>0</v>
      </c>
      <c r="AD210" s="85">
        <f t="shared" si="83"/>
        <v>0</v>
      </c>
      <c r="AE210" s="85">
        <f t="shared" si="83"/>
        <v>0</v>
      </c>
      <c r="AF210" s="85">
        <f t="shared" si="83"/>
        <v>0</v>
      </c>
    </row>
    <row r="211" spans="1:32" x14ac:dyDescent="0.2">
      <c r="A211" s="4"/>
      <c r="B211" s="31"/>
      <c r="C211" s="42" t="s">
        <v>229</v>
      </c>
      <c r="D211" s="134" t="s">
        <v>230</v>
      </c>
      <c r="E211" s="32">
        <v>260000</v>
      </c>
      <c r="F211" s="20">
        <v>0</v>
      </c>
      <c r="G211" s="11">
        <v>0</v>
      </c>
      <c r="H211" s="20">
        <v>0</v>
      </c>
      <c r="I211" s="20">
        <v>370000</v>
      </c>
      <c r="J211" s="11">
        <f t="shared" si="85"/>
        <v>1.4230769230769231</v>
      </c>
      <c r="K211" s="24">
        <f>L211+T211+U211+AF211</f>
        <v>360000</v>
      </c>
      <c r="L211" s="19">
        <v>360000</v>
      </c>
      <c r="M211" s="19"/>
      <c r="N211" s="19"/>
      <c r="O211" s="19"/>
      <c r="P211" s="19"/>
      <c r="Q211" s="96">
        <v>350000</v>
      </c>
      <c r="R211" s="19"/>
      <c r="S211" s="19"/>
      <c r="T211" s="19"/>
      <c r="U211" s="19">
        <f>SUM(V211:AE211)</f>
        <v>0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</row>
    <row r="212" spans="1:32" ht="24" customHeight="1" x14ac:dyDescent="0.2">
      <c r="A212" s="155" t="s">
        <v>44</v>
      </c>
      <c r="B212" s="156"/>
      <c r="C212" s="157"/>
      <c r="D212" s="158" t="s">
        <v>45</v>
      </c>
      <c r="E212" s="159">
        <f>E213+E238+E253+E277+E279+E282+E296+E309+E323+E327</f>
        <v>27767700.539999999</v>
      </c>
      <c r="F212" s="159">
        <f>F213+F238+F253+F277+F279+F282+F296+F309+F323+F327</f>
        <v>20406313.950000007</v>
      </c>
      <c r="G212" s="87">
        <f t="shared" si="84"/>
        <v>0.73489390742327587</v>
      </c>
      <c r="H212" s="159">
        <f>H213+H238+H253+H277+H279+H282+H296+H309+H323+H327</f>
        <v>26878103.496666662</v>
      </c>
      <c r="I212" s="159">
        <f>I213+I238+I253+I277+I279+I282+I296+I309+I323+I327</f>
        <v>28585703</v>
      </c>
      <c r="J212" s="87">
        <f t="shared" si="85"/>
        <v>1.0294587756311204</v>
      </c>
      <c r="K212" s="108" t="e">
        <f>K213+K238+K253+#REF!+K277+K279+K282+K296+K309+#REF!+K323+K327</f>
        <v>#REF!</v>
      </c>
      <c r="L212" s="12" t="e">
        <f>L213+L238+L253+#REF!+L277+L279+L282+L296+L309+#REF!+L323+L327</f>
        <v>#REF!</v>
      </c>
      <c r="M212" s="12" t="e">
        <f>M213+M238+M253+#REF!+M277+M279+M282+M296+M309+#REF!+M323+M327</f>
        <v>#REF!</v>
      </c>
      <c r="N212" s="12" t="e">
        <f>N213+N238+N253+#REF!+N277+N279+N282+N296+N309+#REF!+N323+N327</f>
        <v>#REF!</v>
      </c>
      <c r="O212" s="12"/>
      <c r="P212" s="12" t="e">
        <f>P213+P238+P253+#REF!+P277+P279+P282+P296+P309+#REF!+P323+P327</f>
        <v>#REF!</v>
      </c>
      <c r="Q212" s="12" t="e">
        <f>Q213+Q238+Q253+#REF!+Q277+Q279+Q282+Q296+Q309+#REF!+Q323+Q327</f>
        <v>#REF!</v>
      </c>
      <c r="R212" s="12" t="e">
        <f>R213+R238+R253+#REF!+R277+R279+R282+R296+R309+#REF!+R323+R327</f>
        <v>#REF!</v>
      </c>
      <c r="S212" s="16" t="e">
        <f>S213+S238+S253+#REF!+S277+S279+S282+S296+S309+#REF!+S323+S327</f>
        <v>#REF!</v>
      </c>
      <c r="T212" s="12" t="e">
        <f>T213+T238+T253+#REF!+T277+T279+T282+T296+T309+#REF!+T323+T327</f>
        <v>#REF!</v>
      </c>
      <c r="U212" s="12" t="e">
        <f>U213+U238+U253+#REF!+U277+U279+U282+U296+U309+#REF!+U323+U327</f>
        <v>#REF!</v>
      </c>
      <c r="V212" s="12" t="e">
        <f>V213+V238+V253+#REF!+V277+V279+V282+V296+V309+#REF!+V323+V327</f>
        <v>#REF!</v>
      </c>
      <c r="W212" s="12" t="e">
        <f>W213+W238+W253+#REF!+W277+W279+W282+W296+W309+#REF!+W323+W327</f>
        <v>#REF!</v>
      </c>
      <c r="X212" s="12" t="e">
        <f>X213+X238+X253+#REF!+X277+X279+X282+X296+X309+#REF!+X323+X327</f>
        <v>#REF!</v>
      </c>
      <c r="Y212" s="12" t="e">
        <f>Y213+Y238+Y253+#REF!+Y277+Y279+Y282+Y296+Y309+#REF!+Y323+Y327</f>
        <v>#REF!</v>
      </c>
      <c r="Z212" s="12" t="e">
        <f>Z213+Z238+Z253+#REF!+Z277+Z279+Z282+Z296+Z309+#REF!+Z323+Z327</f>
        <v>#REF!</v>
      </c>
      <c r="AA212" s="26" t="e">
        <f>AA213+AA238+AA253+#REF!+AA277+AA279+AA282+AA296+AA309+#REF!+AA323+AA327</f>
        <v>#REF!</v>
      </c>
      <c r="AB212" s="12" t="e">
        <f>AB213+AB238+AB253+#REF!+AB277+AB279+AB282+AB296+AB309+#REF!+AB323+AB327</f>
        <v>#REF!</v>
      </c>
      <c r="AC212" s="12" t="e">
        <f>AC213+AC238+AC253+#REF!+AC277+AC279+AC282+AC296+AC309+#REF!+AC323+AC327</f>
        <v>#REF!</v>
      </c>
      <c r="AD212" s="12" t="e">
        <f>AD213+AD238+AD253+#REF!+AD277+AD279+AD282+AD296+AD309+#REF!+AD323+AD327</f>
        <v>#REF!</v>
      </c>
      <c r="AE212" s="12" t="e">
        <f>AE213+AE238+AE253+#REF!+AE277+AE279+AE282+AE296+AE309+#REF!+AE323+AE327</f>
        <v>#REF!</v>
      </c>
      <c r="AF212" s="12" t="e">
        <f>AF213+AF238+AF253+#REF!+AF277+AF279+AF282+AF296+AF309+#REF!+AF323+AF327</f>
        <v>#REF!</v>
      </c>
    </row>
    <row r="213" spans="1:32" ht="15.75" x14ac:dyDescent="0.2">
      <c r="A213" s="3"/>
      <c r="B213" s="165" t="s">
        <v>46</v>
      </c>
      <c r="C213" s="166"/>
      <c r="D213" s="167" t="s">
        <v>47</v>
      </c>
      <c r="E213" s="168">
        <f>E214+E215+E216+E217+E218+E219+E220+E221+E224+E225+E226+E227+E228+E229+E230+E231+E232+E233+E234+E235+E237+E222+E223+E236</f>
        <v>16614006.439999999</v>
      </c>
      <c r="F213" s="168">
        <f>F214+F215+F216+F217+F218+F219+F220+F221+F224+F225+F226+F227+F228+F229+F230+F231+F232+F233+F234+F235+F237+F222+F223+F236</f>
        <v>12961065.270000001</v>
      </c>
      <c r="G213" s="170">
        <f t="shared" si="84"/>
        <v>0.7801288218352227</v>
      </c>
      <c r="H213" s="168">
        <f>H214+H215+H216+H217+H218+H219+H220+H221+H224+H225+H226+H227+H228+H229+H230+H231+H232+H233+H234+H235+H237+H236+H222+H223</f>
        <v>16610756.439999999</v>
      </c>
      <c r="I213" s="168">
        <f>I214+I215+I216+I217+I218+I219+I220+I221+I224+I225+I226+I227+I228+I229+I230+I231+I232+I233+I234+I235+I237+I236+I222+I223</f>
        <v>17079411</v>
      </c>
      <c r="J213" s="170">
        <f t="shared" si="85"/>
        <v>1.02801278317068</v>
      </c>
      <c r="K213" s="109">
        <f t="shared" ref="K213:AF213" si="86">K214+K215+K216+K217+K218+K219+K220+K221+K224+K225+K226+K227+K228+K229+K230+K231+K232+K233+K234+K235+K237</f>
        <v>16166436</v>
      </c>
      <c r="L213" s="85">
        <f t="shared" si="86"/>
        <v>3250</v>
      </c>
      <c r="M213" s="85">
        <f t="shared" si="86"/>
        <v>0</v>
      </c>
      <c r="N213" s="85">
        <f t="shared" si="86"/>
        <v>0</v>
      </c>
      <c r="O213" s="85"/>
      <c r="P213" s="85">
        <f t="shared" si="86"/>
        <v>0</v>
      </c>
      <c r="Q213" s="85">
        <f t="shared" si="86"/>
        <v>3250</v>
      </c>
      <c r="R213" s="85">
        <f t="shared" si="86"/>
        <v>0</v>
      </c>
      <c r="S213" s="86">
        <f>S214+S215+S216+S217+S218+S219+S220+S221+S224+S225+S226+S227+S228+S229+S230+S231+S232+S233+S234+S235+S237</f>
        <v>0</v>
      </c>
      <c r="T213" s="85">
        <f t="shared" si="86"/>
        <v>0</v>
      </c>
      <c r="U213" s="85">
        <f t="shared" si="86"/>
        <v>16163186</v>
      </c>
      <c r="V213" s="85">
        <f t="shared" si="86"/>
        <v>2019535</v>
      </c>
      <c r="W213" s="85">
        <f t="shared" si="86"/>
        <v>6354174</v>
      </c>
      <c r="X213" s="85">
        <f t="shared" si="86"/>
        <v>1613005</v>
      </c>
      <c r="Y213" s="85">
        <f t="shared" si="86"/>
        <v>2247759</v>
      </c>
      <c r="Z213" s="85">
        <f t="shared" si="86"/>
        <v>2640358</v>
      </c>
      <c r="AA213" s="89">
        <f t="shared" si="86"/>
        <v>1288355</v>
      </c>
      <c r="AB213" s="85">
        <f t="shared" si="86"/>
        <v>0</v>
      </c>
      <c r="AC213" s="85">
        <f t="shared" si="86"/>
        <v>0</v>
      </c>
      <c r="AD213" s="85">
        <f t="shared" si="86"/>
        <v>0</v>
      </c>
      <c r="AE213" s="85">
        <f t="shared" si="86"/>
        <v>0</v>
      </c>
      <c r="AF213" s="85">
        <f t="shared" si="86"/>
        <v>0</v>
      </c>
    </row>
    <row r="214" spans="1:32" ht="45" x14ac:dyDescent="0.2">
      <c r="A214" s="4"/>
      <c r="B214" s="31"/>
      <c r="C214" s="42" t="s">
        <v>52</v>
      </c>
      <c r="D214" s="34" t="s">
        <v>134</v>
      </c>
      <c r="E214" s="32">
        <v>3250</v>
      </c>
      <c r="F214" s="20">
        <v>0</v>
      </c>
      <c r="G214" s="11">
        <f t="shared" si="84"/>
        <v>0</v>
      </c>
      <c r="H214" s="20">
        <v>0</v>
      </c>
      <c r="I214" s="20">
        <v>0</v>
      </c>
      <c r="J214" s="11">
        <f t="shared" si="85"/>
        <v>0</v>
      </c>
      <c r="K214" s="24">
        <f>L214+T214+U214+AF214</f>
        <v>3250</v>
      </c>
      <c r="L214" s="19">
        <f>SUM(M214:S214)</f>
        <v>3250</v>
      </c>
      <c r="M214" s="19"/>
      <c r="N214" s="19"/>
      <c r="O214" s="19"/>
      <c r="P214" s="19"/>
      <c r="Q214" s="99">
        <v>3250</v>
      </c>
      <c r="R214" s="19"/>
      <c r="S214" s="19"/>
      <c r="T214" s="19"/>
      <c r="U214" s="19">
        <f>SUM(V214:AE214)</f>
        <v>0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</row>
    <row r="215" spans="1:32" ht="22.5" x14ac:dyDescent="0.2">
      <c r="A215" s="4"/>
      <c r="B215" s="31"/>
      <c r="C215" s="42" t="s">
        <v>171</v>
      </c>
      <c r="D215" s="134" t="s">
        <v>172</v>
      </c>
      <c r="E215" s="32">
        <v>399504</v>
      </c>
      <c r="F215" s="20">
        <v>267181.89</v>
      </c>
      <c r="G215" s="11">
        <f t="shared" si="84"/>
        <v>0.66878401718130487</v>
      </c>
      <c r="H215" s="32">
        <v>399504</v>
      </c>
      <c r="I215" s="20">
        <v>440828</v>
      </c>
      <c r="J215" s="11">
        <f t="shared" si="85"/>
        <v>1.103438263446674</v>
      </c>
      <c r="K215" s="24">
        <f t="shared" ref="K215:K237" si="87">L215+T215+U215+AF215</f>
        <v>399504</v>
      </c>
      <c r="L215" s="19">
        <f t="shared" ref="L215:L237" si="88">SUM(M215:S215)</f>
        <v>0</v>
      </c>
      <c r="M215" s="19"/>
      <c r="N215" s="19"/>
      <c r="O215" s="19"/>
      <c r="P215" s="19"/>
      <c r="Q215" s="19"/>
      <c r="R215" s="19"/>
      <c r="S215" s="19"/>
      <c r="T215" s="19"/>
      <c r="U215" s="19">
        <f t="shared" ref="U215:U237" si="89">SUM(V215:AE215)</f>
        <v>399504</v>
      </c>
      <c r="V215" s="55">
        <v>17750</v>
      </c>
      <c r="W215" s="55">
        <v>20120</v>
      </c>
      <c r="X215" s="55">
        <v>72634</v>
      </c>
      <c r="Y215" s="55">
        <v>101422</v>
      </c>
      <c r="Z215" s="55">
        <v>121648</v>
      </c>
      <c r="AA215" s="55">
        <v>65930</v>
      </c>
      <c r="AB215" s="19"/>
      <c r="AC215" s="19"/>
      <c r="AD215" s="19"/>
      <c r="AE215" s="19"/>
      <c r="AF215" s="19"/>
    </row>
    <row r="216" spans="1:32" x14ac:dyDescent="0.2">
      <c r="A216" s="4"/>
      <c r="B216" s="31"/>
      <c r="C216" s="42" t="s">
        <v>116</v>
      </c>
      <c r="D216" s="134" t="s">
        <v>117</v>
      </c>
      <c r="E216" s="32">
        <v>10592696.25</v>
      </c>
      <c r="F216" s="20">
        <v>8475625.5500000007</v>
      </c>
      <c r="G216" s="11">
        <f t="shared" si="84"/>
        <v>0.80013863797897544</v>
      </c>
      <c r="H216" s="32">
        <v>10592696.25</v>
      </c>
      <c r="I216" s="20">
        <v>11027283</v>
      </c>
      <c r="J216" s="11">
        <f t="shared" si="85"/>
        <v>1.0410270189707365</v>
      </c>
      <c r="K216" s="24">
        <f t="shared" si="87"/>
        <v>10501470</v>
      </c>
      <c r="L216" s="19">
        <f t="shared" si="88"/>
        <v>0</v>
      </c>
      <c r="M216" s="19"/>
      <c r="N216" s="19"/>
      <c r="O216" s="19"/>
      <c r="P216" s="19"/>
      <c r="Q216" s="19"/>
      <c r="R216" s="19"/>
      <c r="S216" s="19"/>
      <c r="T216" s="19"/>
      <c r="U216" s="19">
        <f t="shared" si="89"/>
        <v>10501470</v>
      </c>
      <c r="V216" s="101">
        <v>1061200</v>
      </c>
      <c r="W216" s="55">
        <v>4396520</v>
      </c>
      <c r="X216" s="55">
        <v>1058600</v>
      </c>
      <c r="Y216" s="55">
        <v>1437850</v>
      </c>
      <c r="Z216" s="55">
        <v>1704000</v>
      </c>
      <c r="AA216" s="55">
        <v>843300</v>
      </c>
      <c r="AB216" s="19"/>
      <c r="AC216" s="19"/>
      <c r="AD216" s="19"/>
      <c r="AE216" s="19"/>
      <c r="AF216" s="19"/>
    </row>
    <row r="217" spans="1:32" x14ac:dyDescent="0.2">
      <c r="A217" s="4"/>
      <c r="B217" s="31"/>
      <c r="C217" s="42" t="s">
        <v>173</v>
      </c>
      <c r="D217" s="134" t="s">
        <v>174</v>
      </c>
      <c r="E217" s="32">
        <v>821332.84</v>
      </c>
      <c r="F217" s="20">
        <v>821332.84</v>
      </c>
      <c r="G217" s="11">
        <f t="shared" si="84"/>
        <v>1</v>
      </c>
      <c r="H217" s="32">
        <v>821332.84</v>
      </c>
      <c r="I217" s="20">
        <v>951323</v>
      </c>
      <c r="J217" s="11">
        <f t="shared" si="85"/>
        <v>1.1582673353229125</v>
      </c>
      <c r="K217" s="24">
        <f t="shared" si="87"/>
        <v>860910</v>
      </c>
      <c r="L217" s="19">
        <f t="shared" si="88"/>
        <v>0</v>
      </c>
      <c r="M217" s="19"/>
      <c r="N217" s="19"/>
      <c r="O217" s="19"/>
      <c r="P217" s="19"/>
      <c r="Q217" s="19"/>
      <c r="R217" s="19"/>
      <c r="S217" s="19"/>
      <c r="T217" s="19"/>
      <c r="U217" s="19">
        <f t="shared" si="89"/>
        <v>860910</v>
      </c>
      <c r="V217" s="55">
        <v>180650</v>
      </c>
      <c r="W217" s="55">
        <v>325660</v>
      </c>
      <c r="X217" s="55">
        <v>64020</v>
      </c>
      <c r="Y217" s="55">
        <v>108150</v>
      </c>
      <c r="Z217" s="55">
        <v>121090</v>
      </c>
      <c r="AA217" s="55">
        <v>61340</v>
      </c>
      <c r="AB217" s="19"/>
      <c r="AC217" s="19"/>
      <c r="AD217" s="19"/>
      <c r="AE217" s="19"/>
      <c r="AF217" s="19"/>
    </row>
    <row r="218" spans="1:32" x14ac:dyDescent="0.2">
      <c r="A218" s="4"/>
      <c r="B218" s="31"/>
      <c r="C218" s="42" t="s">
        <v>118</v>
      </c>
      <c r="D218" s="134" t="s">
        <v>119</v>
      </c>
      <c r="E218" s="32">
        <v>2039947.06</v>
      </c>
      <c r="F218" s="20">
        <v>1533276.4</v>
      </c>
      <c r="G218" s="11">
        <f t="shared" si="84"/>
        <v>0.75162558385216127</v>
      </c>
      <c r="H218" s="32">
        <v>2039947.06</v>
      </c>
      <c r="I218" s="20">
        <v>2357146</v>
      </c>
      <c r="J218" s="11">
        <f t="shared" si="85"/>
        <v>1.1554937116848512</v>
      </c>
      <c r="K218" s="24">
        <f t="shared" si="87"/>
        <v>2005977</v>
      </c>
      <c r="L218" s="19">
        <f t="shared" si="88"/>
        <v>0</v>
      </c>
      <c r="M218" s="19"/>
      <c r="N218" s="19"/>
      <c r="O218" s="19"/>
      <c r="P218" s="19"/>
      <c r="Q218" s="19"/>
      <c r="R218" s="19"/>
      <c r="S218" s="19"/>
      <c r="T218" s="19"/>
      <c r="U218" s="19">
        <f t="shared" si="89"/>
        <v>2005977</v>
      </c>
      <c r="V218" s="101">
        <v>276870</v>
      </c>
      <c r="W218" s="55">
        <v>780330</v>
      </c>
      <c r="X218" s="55">
        <v>196470</v>
      </c>
      <c r="Y218" s="55">
        <v>272420</v>
      </c>
      <c r="Z218" s="55">
        <v>321354</v>
      </c>
      <c r="AA218" s="55">
        <v>158533</v>
      </c>
      <c r="AB218" s="19"/>
      <c r="AC218" s="19"/>
      <c r="AD218" s="19"/>
      <c r="AE218" s="19"/>
      <c r="AF218" s="19"/>
    </row>
    <row r="219" spans="1:32" x14ac:dyDescent="0.2">
      <c r="A219" s="4"/>
      <c r="B219" s="31"/>
      <c r="C219" s="42" t="s">
        <v>120</v>
      </c>
      <c r="D219" s="134" t="s">
        <v>121</v>
      </c>
      <c r="E219" s="32">
        <v>303852.84999999998</v>
      </c>
      <c r="F219" s="20">
        <v>167921.03</v>
      </c>
      <c r="G219" s="11">
        <f t="shared" si="84"/>
        <v>0.5526393120880716</v>
      </c>
      <c r="H219" s="32">
        <v>303852.84999999998</v>
      </c>
      <c r="I219" s="20">
        <v>334525</v>
      </c>
      <c r="J219" s="11">
        <f t="shared" si="85"/>
        <v>1.1009440918523556</v>
      </c>
      <c r="K219" s="24">
        <f t="shared" si="87"/>
        <v>314253</v>
      </c>
      <c r="L219" s="19">
        <f t="shared" si="88"/>
        <v>0</v>
      </c>
      <c r="M219" s="19"/>
      <c r="N219" s="19"/>
      <c r="O219" s="19"/>
      <c r="P219" s="19"/>
      <c r="Q219" s="19"/>
      <c r="R219" s="19"/>
      <c r="S219" s="19"/>
      <c r="T219" s="19"/>
      <c r="U219" s="19">
        <f t="shared" si="89"/>
        <v>314253</v>
      </c>
      <c r="V219" s="55">
        <v>67878</v>
      </c>
      <c r="W219" s="55">
        <v>111100</v>
      </c>
      <c r="X219" s="55">
        <v>28000</v>
      </c>
      <c r="Y219" s="55">
        <v>38870</v>
      </c>
      <c r="Z219" s="55">
        <v>45806</v>
      </c>
      <c r="AA219" s="55">
        <v>22599</v>
      </c>
      <c r="AB219" s="19"/>
      <c r="AC219" s="19"/>
      <c r="AD219" s="19"/>
      <c r="AE219" s="19"/>
      <c r="AF219" s="19"/>
    </row>
    <row r="220" spans="1:32" x14ac:dyDescent="0.2">
      <c r="A220" s="4"/>
      <c r="B220" s="31"/>
      <c r="C220" s="42" t="s">
        <v>128</v>
      </c>
      <c r="D220" s="134" t="s">
        <v>129</v>
      </c>
      <c r="E220" s="32">
        <v>51788</v>
      </c>
      <c r="F220" s="20">
        <v>13205.23</v>
      </c>
      <c r="G220" s="11">
        <f t="shared" si="84"/>
        <v>0.25498629026029196</v>
      </c>
      <c r="H220" s="32">
        <v>51788</v>
      </c>
      <c r="I220" s="20">
        <v>63788</v>
      </c>
      <c r="J220" s="11">
        <f t="shared" si="85"/>
        <v>1.2317139105584305</v>
      </c>
      <c r="K220" s="24">
        <f t="shared" si="87"/>
        <v>50888</v>
      </c>
      <c r="L220" s="19">
        <f t="shared" si="88"/>
        <v>0</v>
      </c>
      <c r="M220" s="19"/>
      <c r="N220" s="19"/>
      <c r="O220" s="19"/>
      <c r="P220" s="19"/>
      <c r="Q220" s="19"/>
      <c r="R220" s="19"/>
      <c r="S220" s="19"/>
      <c r="T220" s="19"/>
      <c r="U220" s="19">
        <f t="shared" si="89"/>
        <v>50888</v>
      </c>
      <c r="V220" s="55">
        <v>18188</v>
      </c>
      <c r="W220" s="101">
        <v>5828</v>
      </c>
      <c r="X220" s="55">
        <v>6196</v>
      </c>
      <c r="Y220" s="55">
        <v>6392</v>
      </c>
      <c r="Z220" s="55">
        <v>10088</v>
      </c>
      <c r="AA220" s="55">
        <v>4196</v>
      </c>
      <c r="AB220" s="19"/>
      <c r="AC220" s="19"/>
      <c r="AD220" s="19"/>
      <c r="AE220" s="19"/>
      <c r="AF220" s="19"/>
    </row>
    <row r="221" spans="1:32" x14ac:dyDescent="0.2">
      <c r="A221" s="4"/>
      <c r="B221" s="31"/>
      <c r="C221" s="42" t="s">
        <v>122</v>
      </c>
      <c r="D221" s="134" t="s">
        <v>123</v>
      </c>
      <c r="E221" s="32">
        <v>363049.69</v>
      </c>
      <c r="F221" s="20">
        <v>197121.86</v>
      </c>
      <c r="G221" s="11">
        <f t="shared" si="84"/>
        <v>0.54296110265236686</v>
      </c>
      <c r="H221" s="32">
        <v>363049.69</v>
      </c>
      <c r="I221" s="20">
        <v>229920</v>
      </c>
      <c r="J221" s="11">
        <f t="shared" si="85"/>
        <v>0.63330173894377928</v>
      </c>
      <c r="K221" s="24">
        <f t="shared" si="87"/>
        <v>359510</v>
      </c>
      <c r="L221" s="19">
        <f t="shared" si="88"/>
        <v>0</v>
      </c>
      <c r="M221" s="19"/>
      <c r="N221" s="19"/>
      <c r="O221" s="19"/>
      <c r="P221" s="19"/>
      <c r="Q221" s="19"/>
      <c r="R221" s="19"/>
      <c r="S221" s="19"/>
      <c r="T221" s="19"/>
      <c r="U221" s="19">
        <f t="shared" si="89"/>
        <v>359510</v>
      </c>
      <c r="V221" s="101">
        <v>51710</v>
      </c>
      <c r="W221" s="101">
        <v>33000</v>
      </c>
      <c r="X221" s="55">
        <v>55800</v>
      </c>
      <c r="Y221" s="55">
        <v>88000</v>
      </c>
      <c r="Z221" s="55">
        <v>99000</v>
      </c>
      <c r="AA221" s="55">
        <v>32000</v>
      </c>
      <c r="AB221" s="19"/>
      <c r="AC221" s="19"/>
      <c r="AD221" s="19"/>
      <c r="AE221" s="19"/>
      <c r="AF221" s="19"/>
    </row>
    <row r="222" spans="1:32" x14ac:dyDescent="0.2">
      <c r="A222" s="4"/>
      <c r="B222" s="31"/>
      <c r="C222" s="33" t="s">
        <v>262</v>
      </c>
      <c r="D222" s="134" t="s">
        <v>123</v>
      </c>
      <c r="E222" s="32">
        <v>67363.929999999993</v>
      </c>
      <c r="F222" s="20">
        <v>67363.929999999993</v>
      </c>
      <c r="G222" s="11">
        <f t="shared" si="84"/>
        <v>1</v>
      </c>
      <c r="H222" s="32">
        <v>67363.929999999993</v>
      </c>
      <c r="I222" s="20">
        <v>0</v>
      </c>
      <c r="J222" s="11">
        <f t="shared" si="85"/>
        <v>0</v>
      </c>
      <c r="K222" s="24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01"/>
      <c r="W222" s="101"/>
      <c r="X222" s="55"/>
      <c r="Y222" s="55"/>
      <c r="Z222" s="55"/>
      <c r="AA222" s="55"/>
      <c r="AB222" s="19"/>
      <c r="AC222" s="19"/>
      <c r="AD222" s="19"/>
      <c r="AE222" s="19"/>
      <c r="AF222" s="19"/>
    </row>
    <row r="223" spans="1:32" x14ac:dyDescent="0.2">
      <c r="A223" s="4"/>
      <c r="B223" s="31"/>
      <c r="C223" s="33" t="s">
        <v>263</v>
      </c>
      <c r="D223" s="134" t="s">
        <v>123</v>
      </c>
      <c r="E223" s="32">
        <v>12234.24</v>
      </c>
      <c r="F223" s="20">
        <v>12234.24</v>
      </c>
      <c r="G223" s="11">
        <f t="shared" si="84"/>
        <v>1</v>
      </c>
      <c r="H223" s="32">
        <v>12234.24</v>
      </c>
      <c r="I223" s="20">
        <v>0</v>
      </c>
      <c r="J223" s="11">
        <f t="shared" si="85"/>
        <v>0</v>
      </c>
      <c r="K223" s="24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01"/>
      <c r="W223" s="101"/>
      <c r="X223" s="55"/>
      <c r="Y223" s="55"/>
      <c r="Z223" s="55"/>
      <c r="AA223" s="55"/>
      <c r="AB223" s="19"/>
      <c r="AC223" s="19"/>
      <c r="AD223" s="19"/>
      <c r="AE223" s="19"/>
      <c r="AF223" s="19"/>
    </row>
    <row r="224" spans="1:32" x14ac:dyDescent="0.2">
      <c r="A224" s="4"/>
      <c r="B224" s="31"/>
      <c r="C224" s="42" t="s">
        <v>231</v>
      </c>
      <c r="D224" s="134" t="s">
        <v>232</v>
      </c>
      <c r="E224" s="32">
        <v>156560</v>
      </c>
      <c r="F224" s="20">
        <v>52174.559999999998</v>
      </c>
      <c r="G224" s="11">
        <f t="shared" si="84"/>
        <v>0.33325600408788963</v>
      </c>
      <c r="H224" s="32">
        <v>156560</v>
      </c>
      <c r="I224" s="20">
        <v>76500</v>
      </c>
      <c r="J224" s="11">
        <f t="shared" si="85"/>
        <v>0.48863055697496166</v>
      </c>
      <c r="K224" s="24">
        <f t="shared" si="87"/>
        <v>105500</v>
      </c>
      <c r="L224" s="19">
        <f t="shared" si="88"/>
        <v>0</v>
      </c>
      <c r="M224" s="19"/>
      <c r="N224" s="19"/>
      <c r="O224" s="19"/>
      <c r="P224" s="19"/>
      <c r="Q224" s="19"/>
      <c r="R224" s="19"/>
      <c r="S224" s="19"/>
      <c r="T224" s="19"/>
      <c r="U224" s="19">
        <f t="shared" si="89"/>
        <v>105500</v>
      </c>
      <c r="V224" s="55">
        <v>11500</v>
      </c>
      <c r="W224" s="55">
        <v>17000</v>
      </c>
      <c r="X224" s="55">
        <v>22000</v>
      </c>
      <c r="Y224" s="55">
        <v>27000</v>
      </c>
      <c r="Z224" s="55">
        <v>20000</v>
      </c>
      <c r="AA224" s="55">
        <v>8000</v>
      </c>
      <c r="AB224" s="19"/>
      <c r="AC224" s="19"/>
      <c r="AD224" s="19"/>
      <c r="AE224" s="19"/>
      <c r="AF224" s="19"/>
    </row>
    <row r="225" spans="1:32" x14ac:dyDescent="0.2">
      <c r="A225" s="4"/>
      <c r="B225" s="31"/>
      <c r="C225" s="42" t="s">
        <v>130</v>
      </c>
      <c r="D225" s="134" t="s">
        <v>131</v>
      </c>
      <c r="E225" s="32">
        <v>438000</v>
      </c>
      <c r="F225" s="20">
        <v>324954.48</v>
      </c>
      <c r="G225" s="11">
        <f t="shared" si="84"/>
        <v>0.74190520547945205</v>
      </c>
      <c r="H225" s="32">
        <v>438000</v>
      </c>
      <c r="I225" s="20">
        <v>441000</v>
      </c>
      <c r="J225" s="11">
        <f t="shared" si="85"/>
        <v>1.0068493150684932</v>
      </c>
      <c r="K225" s="24">
        <f t="shared" si="87"/>
        <v>434000</v>
      </c>
      <c r="L225" s="19">
        <f t="shared" si="88"/>
        <v>0</v>
      </c>
      <c r="M225" s="19"/>
      <c r="N225" s="19"/>
      <c r="O225" s="19"/>
      <c r="P225" s="19"/>
      <c r="Q225" s="19"/>
      <c r="R225" s="19"/>
      <c r="S225" s="19"/>
      <c r="T225" s="19"/>
      <c r="U225" s="19">
        <f t="shared" si="89"/>
        <v>434000</v>
      </c>
      <c r="V225" s="55">
        <v>84000</v>
      </c>
      <c r="W225" s="55">
        <v>265000</v>
      </c>
      <c r="X225" s="55">
        <v>9000</v>
      </c>
      <c r="Y225" s="55">
        <v>31000</v>
      </c>
      <c r="Z225" s="55">
        <v>25000</v>
      </c>
      <c r="AA225" s="55">
        <v>20000</v>
      </c>
      <c r="AB225" s="19"/>
      <c r="AC225" s="19"/>
      <c r="AD225" s="19"/>
      <c r="AE225" s="19"/>
      <c r="AF225" s="19"/>
    </row>
    <row r="226" spans="1:32" x14ac:dyDescent="0.2">
      <c r="A226" s="4"/>
      <c r="B226" s="31"/>
      <c r="C226" s="42" t="s">
        <v>140</v>
      </c>
      <c r="D226" s="134" t="s">
        <v>141</v>
      </c>
      <c r="E226" s="32">
        <v>51300</v>
      </c>
      <c r="F226" s="20">
        <v>21633.21</v>
      </c>
      <c r="G226" s="11">
        <f t="shared" si="84"/>
        <v>0.42169999999999996</v>
      </c>
      <c r="H226" s="32">
        <v>51300</v>
      </c>
      <c r="I226" s="20">
        <v>53800</v>
      </c>
      <c r="J226" s="11">
        <f t="shared" si="85"/>
        <v>1.0487329434697856</v>
      </c>
      <c r="K226" s="24">
        <f t="shared" si="87"/>
        <v>30500</v>
      </c>
      <c r="L226" s="19">
        <f t="shared" si="88"/>
        <v>0</v>
      </c>
      <c r="M226" s="19"/>
      <c r="N226" s="19"/>
      <c r="O226" s="19"/>
      <c r="P226" s="19"/>
      <c r="Q226" s="19"/>
      <c r="R226" s="19"/>
      <c r="S226" s="19"/>
      <c r="T226" s="19"/>
      <c r="U226" s="19">
        <f t="shared" si="89"/>
        <v>30500</v>
      </c>
      <c r="V226" s="55">
        <v>5000</v>
      </c>
      <c r="W226" s="55">
        <v>7500</v>
      </c>
      <c r="X226" s="55">
        <v>4000</v>
      </c>
      <c r="Y226" s="55">
        <v>4000</v>
      </c>
      <c r="Z226" s="55">
        <v>5000</v>
      </c>
      <c r="AA226" s="55">
        <v>5000</v>
      </c>
      <c r="AB226" s="19"/>
      <c r="AC226" s="19"/>
      <c r="AD226" s="19"/>
      <c r="AE226" s="19"/>
      <c r="AF226" s="19"/>
    </row>
    <row r="227" spans="1:32" x14ac:dyDescent="0.2">
      <c r="A227" s="4"/>
      <c r="B227" s="31"/>
      <c r="C227" s="42" t="s">
        <v>185</v>
      </c>
      <c r="D227" s="134" t="s">
        <v>186</v>
      </c>
      <c r="E227" s="32">
        <v>31310</v>
      </c>
      <c r="F227" s="20">
        <v>10436</v>
      </c>
      <c r="G227" s="11">
        <f t="shared" si="84"/>
        <v>0.33331204088150751</v>
      </c>
      <c r="H227" s="32">
        <v>31310</v>
      </c>
      <c r="I227" s="20">
        <v>31530</v>
      </c>
      <c r="J227" s="11">
        <f t="shared" si="85"/>
        <v>1.0070265091025232</v>
      </c>
      <c r="K227" s="24">
        <f t="shared" si="87"/>
        <v>30010</v>
      </c>
      <c r="L227" s="19">
        <f t="shared" si="88"/>
        <v>0</v>
      </c>
      <c r="M227" s="19"/>
      <c r="N227" s="19"/>
      <c r="O227" s="19"/>
      <c r="P227" s="19"/>
      <c r="Q227" s="19"/>
      <c r="R227" s="19"/>
      <c r="S227" s="19"/>
      <c r="T227" s="19"/>
      <c r="U227" s="19">
        <f t="shared" si="89"/>
        <v>30010</v>
      </c>
      <c r="V227" s="55">
        <v>5000</v>
      </c>
      <c r="W227" s="101">
        <v>8870</v>
      </c>
      <c r="X227" s="55">
        <v>2500</v>
      </c>
      <c r="Y227" s="55">
        <v>5800</v>
      </c>
      <c r="Z227" s="55">
        <v>6840</v>
      </c>
      <c r="AA227" s="55">
        <v>1000</v>
      </c>
      <c r="AB227" s="19"/>
      <c r="AC227" s="19"/>
      <c r="AD227" s="19"/>
      <c r="AE227" s="19"/>
      <c r="AF227" s="19"/>
    </row>
    <row r="228" spans="1:32" x14ac:dyDescent="0.2">
      <c r="A228" s="4"/>
      <c r="B228" s="31"/>
      <c r="C228" s="42" t="s">
        <v>124</v>
      </c>
      <c r="D228" s="134" t="s">
        <v>125</v>
      </c>
      <c r="E228" s="32">
        <v>278589.7</v>
      </c>
      <c r="F228" s="20">
        <v>182367.07</v>
      </c>
      <c r="G228" s="11">
        <f t="shared" si="84"/>
        <v>0.65460808493637779</v>
      </c>
      <c r="H228" s="32">
        <v>278589.7</v>
      </c>
      <c r="I228" s="20">
        <v>147600</v>
      </c>
      <c r="J228" s="11">
        <f t="shared" si="85"/>
        <v>0.52981140365203738</v>
      </c>
      <c r="K228" s="24">
        <f t="shared" si="87"/>
        <v>266038</v>
      </c>
      <c r="L228" s="19">
        <f t="shared" si="88"/>
        <v>0</v>
      </c>
      <c r="M228" s="19"/>
      <c r="N228" s="19"/>
      <c r="O228" s="19"/>
      <c r="P228" s="19"/>
      <c r="Q228" s="19"/>
      <c r="R228" s="19"/>
      <c r="S228" s="19"/>
      <c r="T228" s="19"/>
      <c r="U228" s="19">
        <f t="shared" si="89"/>
        <v>266038</v>
      </c>
      <c r="V228" s="101">
        <v>31400</v>
      </c>
      <c r="W228" s="101">
        <v>96938</v>
      </c>
      <c r="X228" s="55">
        <v>30000</v>
      </c>
      <c r="Y228" s="55">
        <v>28800</v>
      </c>
      <c r="Z228" s="55">
        <v>63500</v>
      </c>
      <c r="AA228" s="55">
        <v>15400</v>
      </c>
      <c r="AB228" s="19"/>
      <c r="AC228" s="19"/>
      <c r="AD228" s="19"/>
      <c r="AE228" s="19"/>
      <c r="AF228" s="19"/>
    </row>
    <row r="229" spans="1:32" ht="33.75" x14ac:dyDescent="0.2">
      <c r="A229" s="4"/>
      <c r="B229" s="31"/>
      <c r="C229" s="42" t="s">
        <v>233</v>
      </c>
      <c r="D229" s="134" t="s">
        <v>234</v>
      </c>
      <c r="E229" s="32">
        <v>50000</v>
      </c>
      <c r="F229" s="20">
        <v>27345.360000000001</v>
      </c>
      <c r="G229" s="11">
        <f t="shared" si="84"/>
        <v>0.54690720000000004</v>
      </c>
      <c r="H229" s="32">
        <v>50000</v>
      </c>
      <c r="I229" s="20">
        <v>60400</v>
      </c>
      <c r="J229" s="11">
        <f t="shared" si="85"/>
        <v>1.208</v>
      </c>
      <c r="K229" s="24">
        <f t="shared" si="87"/>
        <v>70000</v>
      </c>
      <c r="L229" s="19">
        <f t="shared" si="88"/>
        <v>0</v>
      </c>
      <c r="M229" s="19"/>
      <c r="N229" s="19"/>
      <c r="O229" s="19"/>
      <c r="P229" s="19"/>
      <c r="Q229" s="19"/>
      <c r="R229" s="19"/>
      <c r="S229" s="19"/>
      <c r="T229" s="19"/>
      <c r="U229" s="19">
        <f t="shared" si="89"/>
        <v>70000</v>
      </c>
      <c r="V229" s="55">
        <v>49000</v>
      </c>
      <c r="W229" s="55">
        <v>21000</v>
      </c>
      <c r="X229" s="19">
        <v>0</v>
      </c>
      <c r="Y229" s="19">
        <v>0</v>
      </c>
      <c r="Z229" s="19">
        <v>0</v>
      </c>
      <c r="AA229" s="19">
        <v>0</v>
      </c>
      <c r="AB229" s="19"/>
      <c r="AC229" s="19"/>
      <c r="AD229" s="19"/>
      <c r="AE229" s="19"/>
      <c r="AF229" s="19"/>
    </row>
    <row r="230" spans="1:32" ht="22.5" x14ac:dyDescent="0.2">
      <c r="A230" s="4"/>
      <c r="B230" s="31"/>
      <c r="C230" s="42" t="s">
        <v>147</v>
      </c>
      <c r="D230" s="134" t="s">
        <v>148</v>
      </c>
      <c r="E230" s="32">
        <v>51548.3</v>
      </c>
      <c r="F230" s="20">
        <v>35868.9</v>
      </c>
      <c r="G230" s="11">
        <f t="shared" si="84"/>
        <v>0.69583090034006945</v>
      </c>
      <c r="H230" s="32">
        <v>51548.3</v>
      </c>
      <c r="I230" s="20">
        <v>60800</v>
      </c>
      <c r="J230" s="11">
        <f t="shared" si="85"/>
        <v>1.1794763357860492</v>
      </c>
      <c r="K230" s="24">
        <f t="shared" si="87"/>
        <v>40000</v>
      </c>
      <c r="L230" s="19">
        <f t="shared" si="88"/>
        <v>0</v>
      </c>
      <c r="M230" s="19"/>
      <c r="N230" s="19"/>
      <c r="O230" s="19"/>
      <c r="P230" s="19"/>
      <c r="Q230" s="19"/>
      <c r="R230" s="19"/>
      <c r="S230" s="19"/>
      <c r="T230" s="19"/>
      <c r="U230" s="19">
        <f t="shared" si="89"/>
        <v>40000</v>
      </c>
      <c r="V230" s="55">
        <v>12000</v>
      </c>
      <c r="W230" s="101">
        <v>5000</v>
      </c>
      <c r="X230" s="55">
        <v>6000</v>
      </c>
      <c r="Y230" s="55">
        <v>6000</v>
      </c>
      <c r="Z230" s="55">
        <v>8000</v>
      </c>
      <c r="AA230" s="55">
        <v>3000</v>
      </c>
      <c r="AB230" s="19"/>
      <c r="AC230" s="19"/>
      <c r="AD230" s="19"/>
      <c r="AE230" s="19"/>
      <c r="AF230" s="19"/>
    </row>
    <row r="231" spans="1:32" x14ac:dyDescent="0.2">
      <c r="A231" s="4"/>
      <c r="B231" s="31"/>
      <c r="C231" s="42" t="s">
        <v>191</v>
      </c>
      <c r="D231" s="134" t="s">
        <v>192</v>
      </c>
      <c r="E231" s="32">
        <v>11800</v>
      </c>
      <c r="F231" s="20">
        <v>5875.52</v>
      </c>
      <c r="G231" s="11">
        <f t="shared" si="84"/>
        <v>0.4979254237288136</v>
      </c>
      <c r="H231" s="32">
        <v>11800</v>
      </c>
      <c r="I231" s="20">
        <v>13200</v>
      </c>
      <c r="J231" s="11">
        <f t="shared" si="85"/>
        <v>1.1186440677966101</v>
      </c>
      <c r="K231" s="24">
        <f t="shared" si="87"/>
        <v>11800</v>
      </c>
      <c r="L231" s="19">
        <f t="shared" si="88"/>
        <v>0</v>
      </c>
      <c r="M231" s="19"/>
      <c r="N231" s="19"/>
      <c r="O231" s="19"/>
      <c r="P231" s="19"/>
      <c r="Q231" s="19"/>
      <c r="R231" s="19"/>
      <c r="S231" s="19"/>
      <c r="T231" s="19"/>
      <c r="U231" s="19">
        <f t="shared" si="89"/>
        <v>11800</v>
      </c>
      <c r="V231" s="101">
        <v>0</v>
      </c>
      <c r="W231" s="101">
        <v>0</v>
      </c>
      <c r="X231" s="55">
        <v>1000</v>
      </c>
      <c r="Y231" s="101">
        <v>6200</v>
      </c>
      <c r="Z231" s="55">
        <v>1600</v>
      </c>
      <c r="AA231" s="55">
        <v>3000</v>
      </c>
      <c r="AB231" s="19"/>
      <c r="AC231" s="19"/>
      <c r="AD231" s="19"/>
      <c r="AE231" s="19"/>
      <c r="AF231" s="19"/>
    </row>
    <row r="232" spans="1:32" x14ac:dyDescent="0.2">
      <c r="A232" s="4"/>
      <c r="B232" s="31"/>
      <c r="C232" s="42" t="s">
        <v>126</v>
      </c>
      <c r="D232" s="134" t="s">
        <v>127</v>
      </c>
      <c r="E232" s="32">
        <v>11900</v>
      </c>
      <c r="F232" s="20">
        <v>10845.2</v>
      </c>
      <c r="G232" s="11">
        <f t="shared" si="84"/>
        <v>0.91136134453781514</v>
      </c>
      <c r="H232" s="32">
        <v>11900</v>
      </c>
      <c r="I232" s="20">
        <v>14400</v>
      </c>
      <c r="J232" s="11">
        <f t="shared" si="85"/>
        <v>1.2100840336134453</v>
      </c>
      <c r="K232" s="24">
        <f t="shared" si="87"/>
        <v>11900</v>
      </c>
      <c r="L232" s="19">
        <f t="shared" si="88"/>
        <v>0</v>
      </c>
      <c r="M232" s="19"/>
      <c r="N232" s="19"/>
      <c r="O232" s="19"/>
      <c r="P232" s="19"/>
      <c r="Q232" s="19"/>
      <c r="R232" s="19"/>
      <c r="S232" s="19"/>
      <c r="T232" s="19"/>
      <c r="U232" s="19">
        <f t="shared" si="89"/>
        <v>11900</v>
      </c>
      <c r="V232" s="101">
        <v>0</v>
      </c>
      <c r="W232" s="101">
        <v>400</v>
      </c>
      <c r="X232" s="55">
        <v>1000</v>
      </c>
      <c r="Y232" s="55">
        <v>1000</v>
      </c>
      <c r="Z232" s="55">
        <v>2500</v>
      </c>
      <c r="AA232" s="55">
        <v>7000</v>
      </c>
      <c r="AB232" s="19"/>
      <c r="AC232" s="19"/>
      <c r="AD232" s="19"/>
      <c r="AE232" s="19"/>
      <c r="AF232" s="19"/>
    </row>
    <row r="233" spans="1:32" ht="22.5" x14ac:dyDescent="0.2">
      <c r="A233" s="4"/>
      <c r="B233" s="31"/>
      <c r="C233" s="42" t="s">
        <v>193</v>
      </c>
      <c r="D233" s="134" t="s">
        <v>194</v>
      </c>
      <c r="E233" s="32">
        <v>666915</v>
      </c>
      <c r="F233" s="20">
        <v>666915</v>
      </c>
      <c r="G233" s="11">
        <f t="shared" si="84"/>
        <v>1</v>
      </c>
      <c r="H233" s="32">
        <v>666915</v>
      </c>
      <c r="I233" s="20">
        <v>684582</v>
      </c>
      <c r="J233" s="11">
        <f t="shared" si="85"/>
        <v>1.0264906322394909</v>
      </c>
      <c r="K233" s="24">
        <f t="shared" si="87"/>
        <v>667426</v>
      </c>
      <c r="L233" s="19">
        <f t="shared" si="88"/>
        <v>0</v>
      </c>
      <c r="M233" s="19"/>
      <c r="N233" s="19"/>
      <c r="O233" s="19"/>
      <c r="P233" s="19"/>
      <c r="Q233" s="19"/>
      <c r="R233" s="19"/>
      <c r="S233" s="19"/>
      <c r="T233" s="19"/>
      <c r="U233" s="19">
        <f t="shared" si="89"/>
        <v>667426</v>
      </c>
      <c r="V233" s="55">
        <v>147289</v>
      </c>
      <c r="W233" s="55">
        <v>259258</v>
      </c>
      <c r="X233" s="55">
        <v>55785</v>
      </c>
      <c r="Y233" s="55">
        <v>84605</v>
      </c>
      <c r="Z233" s="55">
        <v>83432</v>
      </c>
      <c r="AA233" s="55">
        <v>37057</v>
      </c>
      <c r="AB233" s="19"/>
      <c r="AC233" s="19"/>
      <c r="AD233" s="19"/>
      <c r="AE233" s="19"/>
      <c r="AF233" s="19"/>
    </row>
    <row r="234" spans="1:32" x14ac:dyDescent="0.2">
      <c r="A234" s="4"/>
      <c r="B234" s="31"/>
      <c r="C234" s="42" t="s">
        <v>235</v>
      </c>
      <c r="D234" s="134" t="s">
        <v>236</v>
      </c>
      <c r="E234" s="32">
        <v>810</v>
      </c>
      <c r="F234" s="20">
        <v>107</v>
      </c>
      <c r="G234" s="11">
        <f t="shared" si="84"/>
        <v>0.13209876543209875</v>
      </c>
      <c r="H234" s="32">
        <v>810</v>
      </c>
      <c r="I234" s="20">
        <v>180</v>
      </c>
      <c r="J234" s="11">
        <f t="shared" si="85"/>
        <v>0.22222222222222221</v>
      </c>
      <c r="K234" s="24">
        <f t="shared" si="87"/>
        <v>1000</v>
      </c>
      <c r="L234" s="19">
        <f t="shared" si="88"/>
        <v>0</v>
      </c>
      <c r="M234" s="19"/>
      <c r="N234" s="19"/>
      <c r="O234" s="19"/>
      <c r="P234" s="19"/>
      <c r="Q234" s="19"/>
      <c r="R234" s="19"/>
      <c r="S234" s="19"/>
      <c r="T234" s="19"/>
      <c r="U234" s="19">
        <f t="shared" si="89"/>
        <v>1000</v>
      </c>
      <c r="V234" s="55">
        <v>100</v>
      </c>
      <c r="W234" s="55">
        <v>150</v>
      </c>
      <c r="X234" s="19"/>
      <c r="Y234" s="55">
        <v>250</v>
      </c>
      <c r="Z234" s="55">
        <v>500</v>
      </c>
      <c r="AA234" s="19"/>
      <c r="AB234" s="19"/>
      <c r="AC234" s="19"/>
      <c r="AD234" s="19"/>
      <c r="AE234" s="19"/>
      <c r="AF234" s="19"/>
    </row>
    <row r="235" spans="1:32" ht="22.5" x14ac:dyDescent="0.2">
      <c r="A235" s="4"/>
      <c r="B235" s="31"/>
      <c r="C235" s="42" t="s">
        <v>195</v>
      </c>
      <c r="D235" s="134" t="s">
        <v>196</v>
      </c>
      <c r="E235" s="32">
        <v>2500</v>
      </c>
      <c r="F235" s="20">
        <v>280</v>
      </c>
      <c r="G235" s="11">
        <f t="shared" si="84"/>
        <v>0.112</v>
      </c>
      <c r="H235" s="32">
        <v>2500</v>
      </c>
      <c r="I235" s="20">
        <v>4000</v>
      </c>
      <c r="J235" s="11">
        <f t="shared" si="85"/>
        <v>1.6</v>
      </c>
      <c r="K235" s="24">
        <f t="shared" si="87"/>
        <v>2500</v>
      </c>
      <c r="L235" s="19">
        <f t="shared" si="88"/>
        <v>0</v>
      </c>
      <c r="M235" s="19"/>
      <c r="N235" s="19"/>
      <c r="O235" s="19"/>
      <c r="P235" s="19"/>
      <c r="Q235" s="19"/>
      <c r="R235" s="19"/>
      <c r="S235" s="19"/>
      <c r="T235" s="19"/>
      <c r="U235" s="19">
        <f t="shared" si="89"/>
        <v>2500</v>
      </c>
      <c r="V235" s="19">
        <v>0</v>
      </c>
      <c r="W235" s="55">
        <v>500</v>
      </c>
      <c r="X235" s="19"/>
      <c r="Y235" s="101">
        <v>0</v>
      </c>
      <c r="Z235" s="55">
        <v>1000</v>
      </c>
      <c r="AA235" s="55">
        <v>1000</v>
      </c>
      <c r="AB235" s="19"/>
      <c r="AC235" s="19"/>
      <c r="AD235" s="19"/>
      <c r="AE235" s="19"/>
      <c r="AF235" s="19"/>
    </row>
    <row r="236" spans="1:32" ht="22.5" x14ac:dyDescent="0.2">
      <c r="A236" s="4"/>
      <c r="B236" s="31"/>
      <c r="C236" s="33" t="s">
        <v>380</v>
      </c>
      <c r="D236" s="34" t="s">
        <v>382</v>
      </c>
      <c r="E236" s="32">
        <v>0</v>
      </c>
      <c r="F236" s="20">
        <v>0</v>
      </c>
      <c r="G236" s="11">
        <v>0</v>
      </c>
      <c r="H236" s="32">
        <v>0</v>
      </c>
      <c r="I236" s="20">
        <v>86606</v>
      </c>
      <c r="J236" s="11">
        <v>0</v>
      </c>
      <c r="K236" s="24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55"/>
      <c r="X236" s="19"/>
      <c r="Y236" s="101"/>
      <c r="Z236" s="55"/>
      <c r="AA236" s="55"/>
      <c r="AB236" s="19"/>
      <c r="AC236" s="19"/>
      <c r="AD236" s="19"/>
      <c r="AE236" s="19"/>
      <c r="AF236" s="19"/>
    </row>
    <row r="237" spans="1:32" ht="22.5" x14ac:dyDescent="0.2">
      <c r="A237" s="4"/>
      <c r="B237" s="31"/>
      <c r="C237" s="42" t="s">
        <v>142</v>
      </c>
      <c r="D237" s="134" t="s">
        <v>143</v>
      </c>
      <c r="E237" s="32">
        <v>207754.58</v>
      </c>
      <c r="F237" s="20">
        <v>67000</v>
      </c>
      <c r="G237" s="11">
        <f t="shared" si="84"/>
        <v>0.32249589876670831</v>
      </c>
      <c r="H237" s="32">
        <v>207754.58</v>
      </c>
      <c r="I237" s="20">
        <v>0</v>
      </c>
      <c r="J237" s="11">
        <f t="shared" si="85"/>
        <v>0</v>
      </c>
      <c r="K237" s="24">
        <f t="shared" si="87"/>
        <v>0</v>
      </c>
      <c r="L237" s="19">
        <f t="shared" si="88"/>
        <v>0</v>
      </c>
      <c r="M237" s="19"/>
      <c r="N237" s="19"/>
      <c r="O237" s="19"/>
      <c r="P237" s="19"/>
      <c r="Q237" s="19"/>
      <c r="R237" s="19"/>
      <c r="S237" s="19"/>
      <c r="T237" s="19"/>
      <c r="U237" s="19">
        <f t="shared" si="89"/>
        <v>0</v>
      </c>
      <c r="V237" s="19">
        <v>0</v>
      </c>
      <c r="W237" s="19">
        <v>0</v>
      </c>
      <c r="X237" s="19"/>
      <c r="Y237" s="19">
        <v>0</v>
      </c>
      <c r="Z237" s="19">
        <v>0</v>
      </c>
      <c r="AA237" s="19"/>
      <c r="AB237" s="19"/>
      <c r="AC237" s="19"/>
      <c r="AD237" s="19"/>
      <c r="AE237" s="19"/>
      <c r="AF237" s="19"/>
    </row>
    <row r="238" spans="1:32" ht="22.5" x14ac:dyDescent="0.2">
      <c r="A238" s="3"/>
      <c r="B238" s="165" t="s">
        <v>48</v>
      </c>
      <c r="C238" s="166"/>
      <c r="D238" s="167" t="s">
        <v>49</v>
      </c>
      <c r="E238" s="168">
        <f>E239+E240+E241+E242+E243+E244+E245+E246+E247+E248+E249+E250+E251+E252</f>
        <v>754927</v>
      </c>
      <c r="F238" s="168">
        <f>F239+F240+F241+F242+F243+F244+F245+F246+F247+F248+F249+F250+F251+F252</f>
        <v>529965.16999999993</v>
      </c>
      <c r="G238" s="170">
        <f t="shared" si="84"/>
        <v>0.70200849883498662</v>
      </c>
      <c r="H238" s="171">
        <f>H239+H240+H241+H242+H243+H244+H245+H246+H247+H248+H249+H250+H251+H252</f>
        <v>749527</v>
      </c>
      <c r="I238" s="171">
        <f>I239+I240+I241+I242+I243+I244+I245+I246+I247+I248+I249+I250+I251+I252</f>
        <v>755947</v>
      </c>
      <c r="J238" s="170">
        <f t="shared" si="85"/>
        <v>1.0013511240159645</v>
      </c>
      <c r="K238" s="112">
        <f t="shared" ref="K238:AF238" si="90">K239+K240+K241+K242+K243+K244+K245+K246+K247+K248+K249+K250+K251</f>
        <v>755442</v>
      </c>
      <c r="L238" s="72">
        <f t="shared" si="90"/>
        <v>0</v>
      </c>
      <c r="M238" s="72">
        <f t="shared" si="90"/>
        <v>0</v>
      </c>
      <c r="N238" s="72">
        <f t="shared" si="90"/>
        <v>0</v>
      </c>
      <c r="O238" s="72"/>
      <c r="P238" s="72">
        <f t="shared" si="90"/>
        <v>0</v>
      </c>
      <c r="Q238" s="72">
        <f t="shared" si="90"/>
        <v>0</v>
      </c>
      <c r="R238" s="72">
        <f t="shared" si="90"/>
        <v>0</v>
      </c>
      <c r="S238" s="73">
        <f>S239+S240+S241+S242+S243+S244+S245+S246+S247+S248+S249+S250+S251</f>
        <v>0</v>
      </c>
      <c r="T238" s="72">
        <f t="shared" si="90"/>
        <v>0</v>
      </c>
      <c r="U238" s="72">
        <f t="shared" si="90"/>
        <v>755442</v>
      </c>
      <c r="V238" s="72">
        <f t="shared" si="90"/>
        <v>187013</v>
      </c>
      <c r="W238" s="72">
        <f t="shared" si="90"/>
        <v>0</v>
      </c>
      <c r="X238" s="72">
        <f t="shared" si="90"/>
        <v>122159</v>
      </c>
      <c r="Y238" s="72">
        <f t="shared" si="90"/>
        <v>296391</v>
      </c>
      <c r="Z238" s="72">
        <f t="shared" si="90"/>
        <v>0</v>
      </c>
      <c r="AA238" s="72">
        <f t="shared" si="90"/>
        <v>149879</v>
      </c>
      <c r="AB238" s="72">
        <f t="shared" si="90"/>
        <v>0</v>
      </c>
      <c r="AC238" s="72">
        <f t="shared" si="90"/>
        <v>0</v>
      </c>
      <c r="AD238" s="72">
        <f t="shared" si="90"/>
        <v>0</v>
      </c>
      <c r="AE238" s="72">
        <f t="shared" si="90"/>
        <v>0</v>
      </c>
      <c r="AF238" s="72">
        <f t="shared" si="90"/>
        <v>0</v>
      </c>
    </row>
    <row r="239" spans="1:32" ht="22.5" x14ac:dyDescent="0.2">
      <c r="A239" s="4"/>
      <c r="B239" s="31"/>
      <c r="C239" s="42" t="s">
        <v>171</v>
      </c>
      <c r="D239" s="134" t="s">
        <v>172</v>
      </c>
      <c r="E239" s="32">
        <v>3804</v>
      </c>
      <c r="F239" s="20">
        <v>539.41999999999996</v>
      </c>
      <c r="G239" s="11">
        <f t="shared" si="84"/>
        <v>0.14180336487907463</v>
      </c>
      <c r="H239" s="32">
        <v>3804</v>
      </c>
      <c r="I239" s="20">
        <v>4114</v>
      </c>
      <c r="J239" s="11">
        <f t="shared" si="85"/>
        <v>1.0814931650893795</v>
      </c>
      <c r="K239" s="24">
        <f>L239+T239+U239+AF239</f>
        <v>3804</v>
      </c>
      <c r="L239" s="19">
        <f>SUM(M239:S239)</f>
        <v>0</v>
      </c>
      <c r="M239" s="19"/>
      <c r="N239" s="19"/>
      <c r="O239" s="19"/>
      <c r="P239" s="19"/>
      <c r="Q239" s="19"/>
      <c r="R239" s="19"/>
      <c r="S239" s="19"/>
      <c r="T239" s="19"/>
      <c r="U239" s="19">
        <f>SUM(V239:AE239)</f>
        <v>3804</v>
      </c>
      <c r="V239" s="55">
        <v>1400</v>
      </c>
      <c r="W239" s="19"/>
      <c r="X239" s="55">
        <v>179</v>
      </c>
      <c r="Y239" s="101">
        <v>2000</v>
      </c>
      <c r="Z239" s="19"/>
      <c r="AA239" s="55">
        <v>225</v>
      </c>
      <c r="AB239" s="19"/>
      <c r="AC239" s="19"/>
      <c r="AD239" s="19"/>
      <c r="AE239" s="19"/>
      <c r="AF239" s="19"/>
    </row>
    <row r="240" spans="1:32" x14ac:dyDescent="0.2">
      <c r="A240" s="4"/>
      <c r="B240" s="31"/>
      <c r="C240" s="42" t="s">
        <v>116</v>
      </c>
      <c r="D240" s="134" t="s">
        <v>117</v>
      </c>
      <c r="E240" s="32">
        <v>513073</v>
      </c>
      <c r="F240" s="20">
        <v>374512.56</v>
      </c>
      <c r="G240" s="11">
        <f t="shared" si="84"/>
        <v>0.72994010598881642</v>
      </c>
      <c r="H240" s="32">
        <v>513073</v>
      </c>
      <c r="I240" s="20">
        <v>508284</v>
      </c>
      <c r="J240" s="11">
        <f t="shared" si="85"/>
        <v>0.99066604557246241</v>
      </c>
      <c r="K240" s="24">
        <f t="shared" ref="K240:K251" si="91">L240+T240+U240+AF240</f>
        <v>505180</v>
      </c>
      <c r="L240" s="19">
        <f t="shared" ref="L240:L251" si="92">SUM(M240:S240)</f>
        <v>0</v>
      </c>
      <c r="M240" s="19"/>
      <c r="N240" s="19"/>
      <c r="O240" s="19"/>
      <c r="P240" s="19"/>
      <c r="Q240" s="19"/>
      <c r="R240" s="19"/>
      <c r="S240" s="19"/>
      <c r="T240" s="19"/>
      <c r="U240" s="19">
        <f t="shared" ref="U240:U251" si="93">SUM(V240:AE240)</f>
        <v>505180</v>
      </c>
      <c r="V240" s="101">
        <v>107850</v>
      </c>
      <c r="W240" s="19"/>
      <c r="X240" s="55">
        <v>90000</v>
      </c>
      <c r="Y240" s="55">
        <v>213300</v>
      </c>
      <c r="Z240" s="19"/>
      <c r="AA240" s="55">
        <v>94030</v>
      </c>
      <c r="AB240" s="19"/>
      <c r="AC240" s="19"/>
      <c r="AD240" s="19"/>
      <c r="AE240" s="19"/>
      <c r="AF240" s="19"/>
    </row>
    <row r="241" spans="1:32" x14ac:dyDescent="0.2">
      <c r="A241" s="4"/>
      <c r="B241" s="31"/>
      <c r="C241" s="42" t="s">
        <v>173</v>
      </c>
      <c r="D241" s="134" t="s">
        <v>174</v>
      </c>
      <c r="E241" s="32">
        <v>41320</v>
      </c>
      <c r="F241" s="20">
        <v>41320</v>
      </c>
      <c r="G241" s="11">
        <f t="shared" si="84"/>
        <v>1</v>
      </c>
      <c r="H241" s="32">
        <v>41320</v>
      </c>
      <c r="I241" s="20">
        <v>41925</v>
      </c>
      <c r="J241" s="11">
        <f t="shared" si="85"/>
        <v>1.0146418199419167</v>
      </c>
      <c r="K241" s="24">
        <f t="shared" si="91"/>
        <v>41320</v>
      </c>
      <c r="L241" s="19">
        <f t="shared" si="92"/>
        <v>0</v>
      </c>
      <c r="M241" s="19"/>
      <c r="N241" s="19"/>
      <c r="O241" s="19"/>
      <c r="P241" s="19"/>
      <c r="Q241" s="19"/>
      <c r="R241" s="19"/>
      <c r="S241" s="19"/>
      <c r="T241" s="19"/>
      <c r="U241" s="19">
        <f t="shared" si="93"/>
        <v>41320</v>
      </c>
      <c r="V241" s="55">
        <v>12540</v>
      </c>
      <c r="W241" s="19"/>
      <c r="X241" s="55">
        <v>6500</v>
      </c>
      <c r="Y241" s="55">
        <v>15860</v>
      </c>
      <c r="Z241" s="19"/>
      <c r="AA241" s="55">
        <v>6420</v>
      </c>
      <c r="AB241" s="19"/>
      <c r="AC241" s="19"/>
      <c r="AD241" s="19"/>
      <c r="AE241" s="19"/>
      <c r="AF241" s="19"/>
    </row>
    <row r="242" spans="1:32" x14ac:dyDescent="0.2">
      <c r="A242" s="4"/>
      <c r="B242" s="31"/>
      <c r="C242" s="42" t="s">
        <v>118</v>
      </c>
      <c r="D242" s="134" t="s">
        <v>119</v>
      </c>
      <c r="E242" s="32">
        <v>102460</v>
      </c>
      <c r="F242" s="20">
        <v>65754.990000000005</v>
      </c>
      <c r="G242" s="11">
        <f t="shared" si="84"/>
        <v>0.64176254147960188</v>
      </c>
      <c r="H242" s="32">
        <v>102460</v>
      </c>
      <c r="I242" s="20">
        <v>90941</v>
      </c>
      <c r="J242" s="11">
        <f t="shared" si="85"/>
        <v>0.88757563927386296</v>
      </c>
      <c r="K242" s="24">
        <f t="shared" si="91"/>
        <v>103660</v>
      </c>
      <c r="L242" s="19">
        <f t="shared" si="92"/>
        <v>0</v>
      </c>
      <c r="M242" s="19"/>
      <c r="N242" s="19"/>
      <c r="O242" s="19"/>
      <c r="P242" s="19"/>
      <c r="Q242" s="19"/>
      <c r="R242" s="19"/>
      <c r="S242" s="19"/>
      <c r="T242" s="19"/>
      <c r="U242" s="19">
        <f t="shared" si="93"/>
        <v>103660</v>
      </c>
      <c r="V242" s="55">
        <v>32240</v>
      </c>
      <c r="W242" s="19"/>
      <c r="X242" s="55">
        <v>16590</v>
      </c>
      <c r="Y242" s="55">
        <v>37840</v>
      </c>
      <c r="Z242" s="19"/>
      <c r="AA242" s="55">
        <v>16990</v>
      </c>
      <c r="AB242" s="19"/>
      <c r="AC242" s="19"/>
      <c r="AD242" s="19"/>
      <c r="AE242" s="19"/>
      <c r="AF242" s="19"/>
    </row>
    <row r="243" spans="1:32" x14ac:dyDescent="0.2">
      <c r="A243" s="4"/>
      <c r="B243" s="31"/>
      <c r="C243" s="42" t="s">
        <v>120</v>
      </c>
      <c r="D243" s="134" t="s">
        <v>121</v>
      </c>
      <c r="E243" s="32">
        <v>12666</v>
      </c>
      <c r="F243" s="20">
        <v>7915.84</v>
      </c>
      <c r="G243" s="11">
        <f t="shared" si="84"/>
        <v>0.62496762987525656</v>
      </c>
      <c r="H243" s="32">
        <v>12666</v>
      </c>
      <c r="I243" s="20">
        <v>12932</v>
      </c>
      <c r="J243" s="11">
        <f t="shared" si="85"/>
        <v>1.0210011053213326</v>
      </c>
      <c r="K243" s="24">
        <f t="shared" si="91"/>
        <v>14766</v>
      </c>
      <c r="L243" s="19">
        <f t="shared" si="92"/>
        <v>0</v>
      </c>
      <c r="M243" s="19"/>
      <c r="N243" s="19"/>
      <c r="O243" s="19"/>
      <c r="P243" s="19"/>
      <c r="Q243" s="19"/>
      <c r="R243" s="19"/>
      <c r="S243" s="19"/>
      <c r="T243" s="19"/>
      <c r="U243" s="19">
        <f t="shared" si="93"/>
        <v>14766</v>
      </c>
      <c r="V243" s="55">
        <v>4576</v>
      </c>
      <c r="W243" s="19"/>
      <c r="X243" s="55">
        <v>2370</v>
      </c>
      <c r="Y243" s="55">
        <v>5400</v>
      </c>
      <c r="Z243" s="19"/>
      <c r="AA243" s="55">
        <v>2420</v>
      </c>
      <c r="AB243" s="19"/>
      <c r="AC243" s="19"/>
      <c r="AD243" s="19"/>
      <c r="AE243" s="19"/>
      <c r="AF243" s="19"/>
    </row>
    <row r="244" spans="1:32" x14ac:dyDescent="0.2">
      <c r="A244" s="4"/>
      <c r="B244" s="31"/>
      <c r="C244" s="42" t="s">
        <v>122</v>
      </c>
      <c r="D244" s="134" t="s">
        <v>123</v>
      </c>
      <c r="E244" s="32">
        <v>20700</v>
      </c>
      <c r="F244" s="20">
        <v>4864.3900000000003</v>
      </c>
      <c r="G244" s="11">
        <f t="shared" si="84"/>
        <v>0.23499468599033818</v>
      </c>
      <c r="H244" s="32">
        <v>20700</v>
      </c>
      <c r="I244" s="20">
        <v>16850</v>
      </c>
      <c r="J244" s="11">
        <f t="shared" si="85"/>
        <v>0.81400966183574874</v>
      </c>
      <c r="K244" s="24">
        <f t="shared" si="91"/>
        <v>20700</v>
      </c>
      <c r="L244" s="19">
        <f t="shared" si="92"/>
        <v>0</v>
      </c>
      <c r="M244" s="19"/>
      <c r="N244" s="19"/>
      <c r="O244" s="19"/>
      <c r="P244" s="19"/>
      <c r="Q244" s="19"/>
      <c r="R244" s="19"/>
      <c r="S244" s="19"/>
      <c r="T244" s="19"/>
      <c r="U244" s="19">
        <f t="shared" si="93"/>
        <v>20700</v>
      </c>
      <c r="V244" s="101">
        <v>11700</v>
      </c>
      <c r="W244" s="19"/>
      <c r="X244" s="101">
        <v>1000</v>
      </c>
      <c r="Y244" s="55">
        <v>2000</v>
      </c>
      <c r="Z244" s="19"/>
      <c r="AA244" s="55">
        <v>6000</v>
      </c>
      <c r="AB244" s="19"/>
      <c r="AC244" s="19"/>
      <c r="AD244" s="19"/>
      <c r="AE244" s="19"/>
      <c r="AF244" s="19"/>
    </row>
    <row r="245" spans="1:32" x14ac:dyDescent="0.2">
      <c r="A245" s="4"/>
      <c r="B245" s="31"/>
      <c r="C245" s="42" t="s">
        <v>231</v>
      </c>
      <c r="D245" s="134" t="s">
        <v>232</v>
      </c>
      <c r="E245" s="32">
        <v>6000</v>
      </c>
      <c r="F245" s="20">
        <v>1359.5</v>
      </c>
      <c r="G245" s="11">
        <f t="shared" si="84"/>
        <v>0.22658333333333333</v>
      </c>
      <c r="H245" s="32">
        <v>600</v>
      </c>
      <c r="I245" s="20">
        <v>6200</v>
      </c>
      <c r="J245" s="11">
        <f t="shared" si="85"/>
        <v>1.0333333333333334</v>
      </c>
      <c r="K245" s="24">
        <f t="shared" si="91"/>
        <v>6000</v>
      </c>
      <c r="L245" s="19">
        <f t="shared" si="92"/>
        <v>0</v>
      </c>
      <c r="M245" s="19"/>
      <c r="N245" s="19"/>
      <c r="O245" s="19"/>
      <c r="P245" s="19"/>
      <c r="Q245" s="19"/>
      <c r="R245" s="19"/>
      <c r="S245" s="19"/>
      <c r="T245" s="19"/>
      <c r="U245" s="19">
        <f t="shared" si="93"/>
        <v>6000</v>
      </c>
      <c r="V245" s="55">
        <v>500</v>
      </c>
      <c r="W245" s="19"/>
      <c r="X245" s="55">
        <v>500</v>
      </c>
      <c r="Y245" s="55">
        <v>3000</v>
      </c>
      <c r="Z245" s="19"/>
      <c r="AA245" s="55">
        <v>2000</v>
      </c>
      <c r="AB245" s="19"/>
      <c r="AC245" s="19"/>
      <c r="AD245" s="19"/>
      <c r="AE245" s="19"/>
      <c r="AF245" s="19"/>
    </row>
    <row r="246" spans="1:32" x14ac:dyDescent="0.2">
      <c r="A246" s="4"/>
      <c r="B246" s="31"/>
      <c r="C246" s="42" t="s">
        <v>130</v>
      </c>
      <c r="D246" s="134" t="s">
        <v>131</v>
      </c>
      <c r="E246" s="32">
        <v>20000</v>
      </c>
      <c r="F246" s="20">
        <v>7020.17</v>
      </c>
      <c r="G246" s="11">
        <f t="shared" si="84"/>
        <v>0.3510085</v>
      </c>
      <c r="H246" s="32">
        <v>20000</v>
      </c>
      <c r="I246" s="20">
        <v>20000</v>
      </c>
      <c r="J246" s="11">
        <f t="shared" si="85"/>
        <v>1</v>
      </c>
      <c r="K246" s="24">
        <f t="shared" si="91"/>
        <v>18000</v>
      </c>
      <c r="L246" s="19">
        <f t="shared" si="92"/>
        <v>0</v>
      </c>
      <c r="M246" s="19"/>
      <c r="N246" s="19"/>
      <c r="O246" s="19"/>
      <c r="P246" s="19"/>
      <c r="Q246" s="19"/>
      <c r="R246" s="19"/>
      <c r="S246" s="19"/>
      <c r="T246" s="19"/>
      <c r="U246" s="19">
        <f t="shared" si="93"/>
        <v>18000</v>
      </c>
      <c r="V246" s="19">
        <v>0</v>
      </c>
      <c r="W246" s="19"/>
      <c r="X246" s="19">
        <v>0</v>
      </c>
      <c r="Y246" s="101">
        <v>2000</v>
      </c>
      <c r="Z246" s="19"/>
      <c r="AA246" s="55">
        <v>16000</v>
      </c>
      <c r="AB246" s="19"/>
      <c r="AC246" s="19"/>
      <c r="AD246" s="19"/>
      <c r="AE246" s="19"/>
      <c r="AF246" s="19"/>
    </row>
    <row r="247" spans="1:32" x14ac:dyDescent="0.2">
      <c r="A247" s="4"/>
      <c r="B247" s="31"/>
      <c r="C247" s="42" t="s">
        <v>140</v>
      </c>
      <c r="D247" s="134" t="s">
        <v>141</v>
      </c>
      <c r="E247" s="32">
        <v>3000</v>
      </c>
      <c r="F247" s="20">
        <v>1000</v>
      </c>
      <c r="G247" s="11">
        <f t="shared" si="84"/>
        <v>0.33333333333333331</v>
      </c>
      <c r="H247" s="32">
        <v>3000</v>
      </c>
      <c r="I247" s="20">
        <v>4000</v>
      </c>
      <c r="J247" s="11">
        <f t="shared" si="85"/>
        <v>1.3333333333333333</v>
      </c>
      <c r="K247" s="24">
        <f t="shared" si="91"/>
        <v>7500</v>
      </c>
      <c r="L247" s="19">
        <f t="shared" si="92"/>
        <v>0</v>
      </c>
      <c r="M247" s="19"/>
      <c r="N247" s="19"/>
      <c r="O247" s="19"/>
      <c r="P247" s="19"/>
      <c r="Q247" s="19"/>
      <c r="R247" s="19"/>
      <c r="S247" s="19"/>
      <c r="T247" s="19"/>
      <c r="U247" s="19">
        <f t="shared" si="93"/>
        <v>7500</v>
      </c>
      <c r="V247" s="55">
        <v>5500</v>
      </c>
      <c r="W247" s="19"/>
      <c r="X247" s="19"/>
      <c r="Y247" s="55">
        <v>2000</v>
      </c>
      <c r="Z247" s="19"/>
      <c r="AA247" s="19">
        <v>0</v>
      </c>
      <c r="AB247" s="19"/>
      <c r="AC247" s="19"/>
      <c r="AD247" s="19"/>
      <c r="AE247" s="19"/>
      <c r="AF247" s="19"/>
    </row>
    <row r="248" spans="1:32" x14ac:dyDescent="0.2">
      <c r="A248" s="4"/>
      <c r="B248" s="31"/>
      <c r="C248" s="42" t="s">
        <v>185</v>
      </c>
      <c r="D248" s="134" t="s">
        <v>186</v>
      </c>
      <c r="E248" s="32">
        <v>1500</v>
      </c>
      <c r="F248" s="20">
        <v>0</v>
      </c>
      <c r="G248" s="11">
        <f t="shared" si="84"/>
        <v>0</v>
      </c>
      <c r="H248" s="32">
        <v>1500</v>
      </c>
      <c r="I248" s="20">
        <v>1500</v>
      </c>
      <c r="J248" s="11">
        <f t="shared" si="85"/>
        <v>1</v>
      </c>
      <c r="K248" s="24">
        <f t="shared" si="91"/>
        <v>1500</v>
      </c>
      <c r="L248" s="19">
        <f t="shared" si="92"/>
        <v>0</v>
      </c>
      <c r="M248" s="19"/>
      <c r="N248" s="19"/>
      <c r="O248" s="19"/>
      <c r="P248" s="19"/>
      <c r="Q248" s="19"/>
      <c r="R248" s="19"/>
      <c r="S248" s="19"/>
      <c r="T248" s="19"/>
      <c r="U248" s="19">
        <f t="shared" si="93"/>
        <v>1500</v>
      </c>
      <c r="V248" s="55">
        <v>300</v>
      </c>
      <c r="W248" s="19"/>
      <c r="X248" s="19"/>
      <c r="Y248" s="55">
        <v>700</v>
      </c>
      <c r="Z248" s="19"/>
      <c r="AA248" s="55">
        <v>500</v>
      </c>
      <c r="AB248" s="19"/>
      <c r="AC248" s="19"/>
      <c r="AD248" s="19"/>
      <c r="AE248" s="19"/>
      <c r="AF248" s="19"/>
    </row>
    <row r="249" spans="1:32" x14ac:dyDescent="0.2">
      <c r="A249" s="4"/>
      <c r="B249" s="31"/>
      <c r="C249" s="42" t="s">
        <v>124</v>
      </c>
      <c r="D249" s="134" t="s">
        <v>125</v>
      </c>
      <c r="E249" s="32">
        <v>4500</v>
      </c>
      <c r="F249" s="20">
        <v>423.75</v>
      </c>
      <c r="G249" s="11">
        <f t="shared" si="84"/>
        <v>9.4166666666666662E-2</v>
      </c>
      <c r="H249" s="32">
        <v>4500</v>
      </c>
      <c r="I249" s="20">
        <v>10300</v>
      </c>
      <c r="J249" s="11">
        <f t="shared" si="85"/>
        <v>2.2888888888888888</v>
      </c>
      <c r="K249" s="24">
        <f t="shared" si="91"/>
        <v>4500</v>
      </c>
      <c r="L249" s="19">
        <f t="shared" si="92"/>
        <v>0</v>
      </c>
      <c r="M249" s="19"/>
      <c r="N249" s="19"/>
      <c r="O249" s="19"/>
      <c r="P249" s="19"/>
      <c r="Q249" s="19"/>
      <c r="R249" s="19"/>
      <c r="S249" s="19"/>
      <c r="T249" s="19"/>
      <c r="U249" s="19">
        <f t="shared" si="93"/>
        <v>4500</v>
      </c>
      <c r="V249" s="101">
        <v>1000</v>
      </c>
      <c r="W249" s="19"/>
      <c r="X249" s="19"/>
      <c r="Y249" s="55">
        <v>2000</v>
      </c>
      <c r="Z249" s="19"/>
      <c r="AA249" s="55">
        <v>1500</v>
      </c>
      <c r="AB249" s="19"/>
      <c r="AC249" s="19"/>
      <c r="AD249" s="19"/>
      <c r="AE249" s="19"/>
      <c r="AF249" s="19"/>
    </row>
    <row r="250" spans="1:32" ht="22.5" x14ac:dyDescent="0.2">
      <c r="A250" s="4"/>
      <c r="B250" s="31"/>
      <c r="C250" s="42" t="s">
        <v>147</v>
      </c>
      <c r="D250" s="134" t="s">
        <v>148</v>
      </c>
      <c r="E250" s="32">
        <v>1000</v>
      </c>
      <c r="F250" s="20">
        <v>350.55</v>
      </c>
      <c r="G250" s="11">
        <f t="shared" si="84"/>
        <v>0.35055000000000003</v>
      </c>
      <c r="H250" s="32">
        <v>1000</v>
      </c>
      <c r="I250" s="20">
        <v>1000</v>
      </c>
      <c r="J250" s="11">
        <f t="shared" si="85"/>
        <v>1</v>
      </c>
      <c r="K250" s="24">
        <f t="shared" si="91"/>
        <v>1000</v>
      </c>
      <c r="L250" s="19">
        <f t="shared" si="92"/>
        <v>0</v>
      </c>
      <c r="M250" s="19"/>
      <c r="N250" s="19"/>
      <c r="O250" s="19"/>
      <c r="P250" s="19"/>
      <c r="Q250" s="19"/>
      <c r="R250" s="19"/>
      <c r="S250" s="19"/>
      <c r="T250" s="19"/>
      <c r="U250" s="19">
        <f t="shared" si="93"/>
        <v>1000</v>
      </c>
      <c r="V250" s="19">
        <v>0</v>
      </c>
      <c r="W250" s="19"/>
      <c r="X250" s="19"/>
      <c r="Y250" s="55">
        <v>1000</v>
      </c>
      <c r="Z250" s="19"/>
      <c r="AA250" s="19">
        <v>0</v>
      </c>
      <c r="AB250" s="19"/>
      <c r="AC250" s="19"/>
      <c r="AD250" s="19"/>
      <c r="AE250" s="19"/>
      <c r="AF250" s="19"/>
    </row>
    <row r="251" spans="1:32" ht="22.5" x14ac:dyDescent="0.2">
      <c r="A251" s="4"/>
      <c r="B251" s="31"/>
      <c r="C251" s="42" t="s">
        <v>193</v>
      </c>
      <c r="D251" s="134" t="s">
        <v>194</v>
      </c>
      <c r="E251" s="32">
        <v>24904</v>
      </c>
      <c r="F251" s="20">
        <v>24904</v>
      </c>
      <c r="G251" s="11">
        <f t="shared" si="84"/>
        <v>1</v>
      </c>
      <c r="H251" s="32">
        <v>24904</v>
      </c>
      <c r="I251" s="20">
        <v>25834</v>
      </c>
      <c r="J251" s="11">
        <f t="shared" si="85"/>
        <v>1.0373433986508191</v>
      </c>
      <c r="K251" s="24">
        <f t="shared" si="91"/>
        <v>27512</v>
      </c>
      <c r="L251" s="19">
        <f t="shared" si="92"/>
        <v>0</v>
      </c>
      <c r="M251" s="19"/>
      <c r="N251" s="19"/>
      <c r="O251" s="19"/>
      <c r="P251" s="19"/>
      <c r="Q251" s="19"/>
      <c r="R251" s="19"/>
      <c r="S251" s="19"/>
      <c r="T251" s="19"/>
      <c r="U251" s="19">
        <f t="shared" si="93"/>
        <v>27512</v>
      </c>
      <c r="V251" s="55">
        <v>9407</v>
      </c>
      <c r="W251" s="19"/>
      <c r="X251" s="55">
        <v>5020</v>
      </c>
      <c r="Y251" s="55">
        <v>9291</v>
      </c>
      <c r="Z251" s="19"/>
      <c r="AA251" s="55">
        <v>3794</v>
      </c>
      <c r="AB251" s="19"/>
      <c r="AC251" s="19"/>
      <c r="AD251" s="19"/>
      <c r="AE251" s="19"/>
      <c r="AF251" s="19"/>
    </row>
    <row r="252" spans="1:32" ht="22.5" x14ac:dyDescent="0.2">
      <c r="A252" s="4"/>
      <c r="B252" s="31"/>
      <c r="C252" s="33" t="s">
        <v>380</v>
      </c>
      <c r="D252" s="34" t="s">
        <v>382</v>
      </c>
      <c r="E252" s="32">
        <v>0</v>
      </c>
      <c r="F252" s="20">
        <v>0</v>
      </c>
      <c r="G252" s="11">
        <v>0</v>
      </c>
      <c r="H252" s="32">
        <v>0</v>
      </c>
      <c r="I252" s="20">
        <v>12067</v>
      </c>
      <c r="J252" s="11">
        <v>0</v>
      </c>
      <c r="K252" s="24"/>
      <c r="L252" s="52"/>
      <c r="M252" s="52"/>
      <c r="N252" s="52"/>
      <c r="O252" s="52"/>
      <c r="P252" s="52"/>
      <c r="Q252" s="52"/>
      <c r="R252" s="52"/>
      <c r="S252" s="53"/>
      <c r="T252" s="52"/>
      <c r="U252" s="52"/>
      <c r="V252" s="179"/>
      <c r="W252" s="52"/>
      <c r="X252" s="179"/>
      <c r="Y252" s="179"/>
      <c r="Z252" s="52"/>
      <c r="AA252" s="179"/>
      <c r="AB252" s="52"/>
      <c r="AC252" s="52"/>
      <c r="AD252" s="52"/>
      <c r="AE252" s="52"/>
      <c r="AF252" s="52"/>
    </row>
    <row r="253" spans="1:32" ht="15.75" x14ac:dyDescent="0.2">
      <c r="A253" s="3"/>
      <c r="B253" s="165" t="s">
        <v>50</v>
      </c>
      <c r="C253" s="166"/>
      <c r="D253" s="167" t="s">
        <v>51</v>
      </c>
      <c r="E253" s="168">
        <f>E254+E255+E256+E257+E258+E259+E260+E261+E262+E263+E264+E265+E266+E267+E268+E269+E270+E271+E272+E273+E274+E275+E276</f>
        <v>6730743.0499999998</v>
      </c>
      <c r="F253" s="168">
        <f>F254+F255+F256+F257+F258+F259+F260+F261+F262+F263+F264+F265+F266+F267+F268+F269+F270+F271+F272+F273+F274+F275+F276</f>
        <v>4960505.7400000012</v>
      </c>
      <c r="G253" s="170">
        <f t="shared" si="84"/>
        <v>0.7369922909180141</v>
      </c>
      <c r="H253" s="168">
        <f>H254+H255+H256+H257+H258+H259+H260+H261+H262+H263+H264+H265+H266+H267+H268+H269+H270+H271+H272+H273+H274+H275+H276</f>
        <v>6277040.54</v>
      </c>
      <c r="I253" s="168">
        <f>I254+I255+I256+I257+I258+I259+I260+I261+I262+I263+I264+I265+I266+I267+I268+I269+I270+I271+I272+I273+I274+I275+I276</f>
        <v>7232654</v>
      </c>
      <c r="J253" s="170">
        <f t="shared" si="85"/>
        <v>1.074569916912814</v>
      </c>
      <c r="K253" s="112">
        <f t="shared" ref="K253:AF253" si="94">K254+K255+K256+K257+K258+K259+K260+K261+K262+K263+K264+K265+K266+K267+K268+K269+K270+K271+K272+K273+K274+K275</f>
        <v>6478154</v>
      </c>
      <c r="L253" s="72">
        <f t="shared" si="94"/>
        <v>1431300</v>
      </c>
      <c r="M253" s="72">
        <f t="shared" si="94"/>
        <v>0</v>
      </c>
      <c r="N253" s="72">
        <f t="shared" si="94"/>
        <v>0</v>
      </c>
      <c r="O253" s="72"/>
      <c r="P253" s="72">
        <f t="shared" si="94"/>
        <v>0</v>
      </c>
      <c r="Q253" s="72">
        <f t="shared" si="94"/>
        <v>1431000</v>
      </c>
      <c r="R253" s="72">
        <f t="shared" si="94"/>
        <v>0</v>
      </c>
      <c r="S253" s="73">
        <f>S254+S255+S256+S257+S258+S259+S260+S261+S262+S263+S264+S265+S266+S267+S268+S269+S270+S271+S272+S273+S274+S275</f>
        <v>300</v>
      </c>
      <c r="T253" s="72">
        <f t="shared" si="94"/>
        <v>0</v>
      </c>
      <c r="U253" s="72">
        <f t="shared" si="94"/>
        <v>5046854</v>
      </c>
      <c r="V253" s="72">
        <f t="shared" si="94"/>
        <v>0</v>
      </c>
      <c r="W253" s="72">
        <f t="shared" si="94"/>
        <v>0</v>
      </c>
      <c r="X253" s="72">
        <f t="shared" si="94"/>
        <v>0</v>
      </c>
      <c r="Y253" s="72">
        <f t="shared" si="94"/>
        <v>0</v>
      </c>
      <c r="Z253" s="72">
        <f t="shared" si="94"/>
        <v>0</v>
      </c>
      <c r="AA253" s="72">
        <f t="shared" si="94"/>
        <v>0</v>
      </c>
      <c r="AB253" s="72">
        <f t="shared" si="94"/>
        <v>1489927</v>
      </c>
      <c r="AC253" s="72">
        <f t="shared" si="94"/>
        <v>1974899</v>
      </c>
      <c r="AD253" s="74">
        <f t="shared" si="94"/>
        <v>1582028</v>
      </c>
      <c r="AE253" s="72">
        <f t="shared" si="94"/>
        <v>0</v>
      </c>
      <c r="AF253" s="72">
        <f t="shared" si="94"/>
        <v>0</v>
      </c>
    </row>
    <row r="254" spans="1:32" ht="45" x14ac:dyDescent="0.2">
      <c r="A254" s="4"/>
      <c r="B254" s="31"/>
      <c r="C254" s="42" t="s">
        <v>52</v>
      </c>
      <c r="D254" s="134" t="s">
        <v>134</v>
      </c>
      <c r="E254" s="32">
        <v>79100</v>
      </c>
      <c r="F254" s="20">
        <v>51049.48</v>
      </c>
      <c r="G254" s="11">
        <f t="shared" si="84"/>
        <v>0.64537901390644759</v>
      </c>
      <c r="H254" s="20">
        <v>79100</v>
      </c>
      <c r="I254" s="20">
        <v>62692</v>
      </c>
      <c r="J254" s="11">
        <f t="shared" si="85"/>
        <v>0.79256637168141597</v>
      </c>
      <c r="K254" s="24">
        <f>L254+T254+U254+AF254</f>
        <v>46000</v>
      </c>
      <c r="L254" s="19">
        <f>SUM(M254:S254)</f>
        <v>46000</v>
      </c>
      <c r="M254" s="19"/>
      <c r="N254" s="19"/>
      <c r="O254" s="19"/>
      <c r="P254" s="19"/>
      <c r="Q254" s="99">
        <v>46000</v>
      </c>
      <c r="R254" s="19"/>
      <c r="S254" s="19"/>
      <c r="T254" s="19"/>
      <c r="U254" s="19">
        <f>SUM(V254:AE254)</f>
        <v>0</v>
      </c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</row>
    <row r="255" spans="1:32" ht="22.5" x14ac:dyDescent="0.2">
      <c r="A255" s="4"/>
      <c r="B255" s="31"/>
      <c r="C255" s="42" t="s">
        <v>237</v>
      </c>
      <c r="D255" s="134" t="s">
        <v>238</v>
      </c>
      <c r="E255" s="32">
        <v>1490985.05</v>
      </c>
      <c r="F255" s="20">
        <v>1272352.72</v>
      </c>
      <c r="G255" s="11">
        <f t="shared" si="84"/>
        <v>0.85336383486876677</v>
      </c>
      <c r="H255" s="20">
        <v>1490985.05</v>
      </c>
      <c r="I255" s="20">
        <v>1899020</v>
      </c>
      <c r="J255" s="11">
        <f t="shared" si="85"/>
        <v>1.2736680357727261</v>
      </c>
      <c r="K255" s="24">
        <f t="shared" ref="K255:K275" si="95">L255+T255+U255+AF255</f>
        <v>1326000</v>
      </c>
      <c r="L255" s="19">
        <f t="shared" ref="L255:L275" si="96">SUM(M255:S255)</f>
        <v>1326000</v>
      </c>
      <c r="M255" s="19"/>
      <c r="N255" s="19"/>
      <c r="O255" s="19"/>
      <c r="P255" s="19"/>
      <c r="Q255" s="99">
        <v>1326000</v>
      </c>
      <c r="R255" s="19"/>
      <c r="S255" s="19"/>
      <c r="T255" s="19"/>
      <c r="U255" s="19">
        <f t="shared" ref="U255:U275" si="97">SUM(V255:AE255)</f>
        <v>0</v>
      </c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</row>
    <row r="256" spans="1:32" ht="22.5" x14ac:dyDescent="0.2">
      <c r="A256" s="4"/>
      <c r="B256" s="31"/>
      <c r="C256" s="42" t="s">
        <v>171</v>
      </c>
      <c r="D256" s="134" t="s">
        <v>172</v>
      </c>
      <c r="E256" s="32">
        <v>58640</v>
      </c>
      <c r="F256" s="20">
        <v>43527.7</v>
      </c>
      <c r="G256" s="11">
        <f t="shared" si="84"/>
        <v>0.74228683492496583</v>
      </c>
      <c r="H256" s="32">
        <v>58640</v>
      </c>
      <c r="I256" s="20">
        <v>71365</v>
      </c>
      <c r="J256" s="11">
        <f t="shared" si="85"/>
        <v>1.2170020463847204</v>
      </c>
      <c r="K256" s="24">
        <f t="shared" si="95"/>
        <v>61640</v>
      </c>
      <c r="L256" s="19">
        <f t="shared" si="96"/>
        <v>0</v>
      </c>
      <c r="M256" s="19"/>
      <c r="N256" s="19"/>
      <c r="O256" s="19"/>
      <c r="P256" s="19"/>
      <c r="Q256" s="19"/>
      <c r="R256" s="19"/>
      <c r="S256" s="19"/>
      <c r="T256" s="19"/>
      <c r="U256" s="19">
        <f t="shared" si="97"/>
        <v>61640</v>
      </c>
      <c r="V256" s="19"/>
      <c r="W256" s="19"/>
      <c r="X256" s="19"/>
      <c r="Y256" s="19"/>
      <c r="Z256" s="19"/>
      <c r="AA256" s="19"/>
      <c r="AB256" s="101">
        <v>1100</v>
      </c>
      <c r="AC256" s="55">
        <v>9950</v>
      </c>
      <c r="AD256" s="55">
        <v>50590</v>
      </c>
      <c r="AE256" s="19"/>
      <c r="AF256" s="19"/>
    </row>
    <row r="257" spans="1:32" x14ac:dyDescent="0.2">
      <c r="A257" s="4"/>
      <c r="B257" s="31"/>
      <c r="C257" s="42" t="s">
        <v>116</v>
      </c>
      <c r="D257" s="134" t="s">
        <v>117</v>
      </c>
      <c r="E257" s="32">
        <v>2924797.45</v>
      </c>
      <c r="F257" s="20">
        <v>2258381.98</v>
      </c>
      <c r="G257" s="11">
        <f t="shared" si="84"/>
        <v>0.77214987314762595</v>
      </c>
      <c r="H257" s="32">
        <v>2924797.45</v>
      </c>
      <c r="I257" s="20">
        <v>3159256</v>
      </c>
      <c r="J257" s="11">
        <f t="shared" si="85"/>
        <v>1.0801623203001629</v>
      </c>
      <c r="K257" s="24">
        <f t="shared" si="95"/>
        <v>2885700</v>
      </c>
      <c r="L257" s="19">
        <f t="shared" si="96"/>
        <v>0</v>
      </c>
      <c r="M257" s="19"/>
      <c r="N257" s="19"/>
      <c r="O257" s="19"/>
      <c r="P257" s="19"/>
      <c r="Q257" s="19"/>
      <c r="R257" s="19"/>
      <c r="S257" s="19"/>
      <c r="T257" s="19"/>
      <c r="U257" s="19">
        <f t="shared" si="97"/>
        <v>2885700</v>
      </c>
      <c r="V257" s="19"/>
      <c r="W257" s="19"/>
      <c r="X257" s="19"/>
      <c r="Y257" s="19"/>
      <c r="Z257" s="19"/>
      <c r="AA257" s="19"/>
      <c r="AB257" s="101">
        <v>678200</v>
      </c>
      <c r="AC257" s="55">
        <v>1242000</v>
      </c>
      <c r="AD257" s="55">
        <v>965500</v>
      </c>
      <c r="AE257" s="19"/>
      <c r="AF257" s="19"/>
    </row>
    <row r="258" spans="1:32" x14ac:dyDescent="0.2">
      <c r="A258" s="4"/>
      <c r="B258" s="31"/>
      <c r="C258" s="42" t="s">
        <v>173</v>
      </c>
      <c r="D258" s="134" t="s">
        <v>174</v>
      </c>
      <c r="E258" s="32">
        <v>211852.55</v>
      </c>
      <c r="F258" s="20">
        <v>211852.55</v>
      </c>
      <c r="G258" s="11">
        <f t="shared" si="84"/>
        <v>1</v>
      </c>
      <c r="H258" s="32">
        <v>211852.55</v>
      </c>
      <c r="I258" s="20">
        <v>249761</v>
      </c>
      <c r="J258" s="11">
        <f t="shared" si="85"/>
        <v>1.1789378980805283</v>
      </c>
      <c r="K258" s="24">
        <f t="shared" si="95"/>
        <v>220850</v>
      </c>
      <c r="L258" s="19">
        <f t="shared" si="96"/>
        <v>0</v>
      </c>
      <c r="M258" s="19"/>
      <c r="N258" s="19"/>
      <c r="O258" s="19"/>
      <c r="P258" s="19"/>
      <c r="Q258" s="19"/>
      <c r="R258" s="19"/>
      <c r="S258" s="19"/>
      <c r="T258" s="19"/>
      <c r="U258" s="19">
        <f t="shared" si="97"/>
        <v>220850</v>
      </c>
      <c r="V258" s="19"/>
      <c r="W258" s="19"/>
      <c r="X258" s="19"/>
      <c r="Y258" s="19"/>
      <c r="Z258" s="19"/>
      <c r="AA258" s="19"/>
      <c r="AB258" s="55">
        <v>76500</v>
      </c>
      <c r="AC258" s="55">
        <v>75450</v>
      </c>
      <c r="AD258" s="55">
        <v>68900</v>
      </c>
      <c r="AE258" s="19"/>
      <c r="AF258" s="19"/>
    </row>
    <row r="259" spans="1:32" x14ac:dyDescent="0.2">
      <c r="A259" s="4"/>
      <c r="B259" s="31"/>
      <c r="C259" s="42" t="s">
        <v>118</v>
      </c>
      <c r="D259" s="134" t="s">
        <v>119</v>
      </c>
      <c r="E259" s="32">
        <v>583290</v>
      </c>
      <c r="F259" s="20">
        <v>390639.38</v>
      </c>
      <c r="G259" s="11">
        <f t="shared" si="84"/>
        <v>0.66971725899638257</v>
      </c>
      <c r="H259" s="32">
        <v>583290</v>
      </c>
      <c r="I259" s="20">
        <v>585513</v>
      </c>
      <c r="J259" s="11">
        <f t="shared" si="85"/>
        <v>1.0038111402561334</v>
      </c>
      <c r="K259" s="24">
        <f t="shared" si="95"/>
        <v>598260</v>
      </c>
      <c r="L259" s="19">
        <f t="shared" si="96"/>
        <v>0</v>
      </c>
      <c r="M259" s="19"/>
      <c r="N259" s="19"/>
      <c r="O259" s="19"/>
      <c r="P259" s="19"/>
      <c r="Q259" s="19"/>
      <c r="R259" s="19"/>
      <c r="S259" s="19"/>
      <c r="T259" s="19"/>
      <c r="U259" s="19">
        <f t="shared" si="97"/>
        <v>598260</v>
      </c>
      <c r="V259" s="19"/>
      <c r="W259" s="19"/>
      <c r="X259" s="19"/>
      <c r="Y259" s="19"/>
      <c r="Z259" s="19"/>
      <c r="AA259" s="19"/>
      <c r="AB259" s="55">
        <v>209340</v>
      </c>
      <c r="AC259" s="55">
        <v>211420</v>
      </c>
      <c r="AD259" s="55">
        <v>177500</v>
      </c>
      <c r="AE259" s="19"/>
      <c r="AF259" s="19"/>
    </row>
    <row r="260" spans="1:32" x14ac:dyDescent="0.2">
      <c r="A260" s="4"/>
      <c r="B260" s="31"/>
      <c r="C260" s="42" t="s">
        <v>120</v>
      </c>
      <c r="D260" s="134" t="s">
        <v>121</v>
      </c>
      <c r="E260" s="32">
        <v>81279</v>
      </c>
      <c r="F260" s="20">
        <v>44964.74</v>
      </c>
      <c r="G260" s="11">
        <f t="shared" si="84"/>
        <v>0.55321472951192807</v>
      </c>
      <c r="H260" s="32">
        <v>81279</v>
      </c>
      <c r="I260" s="20">
        <v>83760</v>
      </c>
      <c r="J260" s="11">
        <f t="shared" si="85"/>
        <v>1.0305244897205921</v>
      </c>
      <c r="K260" s="24">
        <f t="shared" si="95"/>
        <v>85279</v>
      </c>
      <c r="L260" s="19">
        <f t="shared" si="96"/>
        <v>0</v>
      </c>
      <c r="M260" s="19"/>
      <c r="N260" s="19"/>
      <c r="O260" s="19"/>
      <c r="P260" s="19"/>
      <c r="Q260" s="19"/>
      <c r="R260" s="19"/>
      <c r="S260" s="19"/>
      <c r="T260" s="19"/>
      <c r="U260" s="19">
        <f t="shared" si="97"/>
        <v>85279</v>
      </c>
      <c r="V260" s="19"/>
      <c r="W260" s="19"/>
      <c r="X260" s="19"/>
      <c r="Y260" s="19"/>
      <c r="Z260" s="19"/>
      <c r="AA260" s="19"/>
      <c r="AB260" s="55">
        <v>29835</v>
      </c>
      <c r="AC260" s="55">
        <v>30200</v>
      </c>
      <c r="AD260" s="55">
        <v>25244</v>
      </c>
      <c r="AE260" s="19"/>
      <c r="AF260" s="19"/>
    </row>
    <row r="261" spans="1:32" x14ac:dyDescent="0.2">
      <c r="A261" s="4"/>
      <c r="B261" s="31"/>
      <c r="C261" s="42" t="s">
        <v>128</v>
      </c>
      <c r="D261" s="134" t="s">
        <v>129</v>
      </c>
      <c r="E261" s="32">
        <v>4250</v>
      </c>
      <c r="F261" s="20">
        <v>2250</v>
      </c>
      <c r="G261" s="11">
        <f t="shared" si="84"/>
        <v>0.52941176470588236</v>
      </c>
      <c r="H261" s="32">
        <v>4250</v>
      </c>
      <c r="I261" s="20">
        <v>9000</v>
      </c>
      <c r="J261" s="11">
        <f t="shared" si="85"/>
        <v>2.1176470588235294</v>
      </c>
      <c r="K261" s="24">
        <f t="shared" si="95"/>
        <v>6500</v>
      </c>
      <c r="L261" s="19">
        <f t="shared" si="96"/>
        <v>0</v>
      </c>
      <c r="M261" s="19"/>
      <c r="N261" s="19"/>
      <c r="O261" s="19"/>
      <c r="P261" s="19"/>
      <c r="Q261" s="19"/>
      <c r="R261" s="19"/>
      <c r="S261" s="19"/>
      <c r="T261" s="19"/>
      <c r="U261" s="19">
        <f t="shared" si="97"/>
        <v>6500</v>
      </c>
      <c r="V261" s="19"/>
      <c r="W261" s="19"/>
      <c r="X261" s="19"/>
      <c r="Y261" s="19"/>
      <c r="Z261" s="19"/>
      <c r="AA261" s="19"/>
      <c r="AB261" s="55">
        <v>4500</v>
      </c>
      <c r="AC261" s="101">
        <v>0</v>
      </c>
      <c r="AD261" s="55">
        <v>2000</v>
      </c>
      <c r="AE261" s="19"/>
      <c r="AF261" s="19"/>
    </row>
    <row r="262" spans="1:32" x14ac:dyDescent="0.2">
      <c r="A262" s="4"/>
      <c r="B262" s="31"/>
      <c r="C262" s="42" t="s">
        <v>122</v>
      </c>
      <c r="D262" s="134" t="s">
        <v>123</v>
      </c>
      <c r="E262" s="32">
        <v>115820</v>
      </c>
      <c r="F262" s="20">
        <v>70537.58</v>
      </c>
      <c r="G262" s="11">
        <f t="shared" si="84"/>
        <v>0.60902762907960628</v>
      </c>
      <c r="H262" s="32">
        <v>100000</v>
      </c>
      <c r="I262" s="20">
        <v>76260</v>
      </c>
      <c r="J262" s="11">
        <f t="shared" si="85"/>
        <v>0.65843550336729406</v>
      </c>
      <c r="K262" s="24">
        <f t="shared" si="95"/>
        <v>121300</v>
      </c>
      <c r="L262" s="19">
        <f t="shared" si="96"/>
        <v>300</v>
      </c>
      <c r="M262" s="19"/>
      <c r="N262" s="19"/>
      <c r="O262" s="19"/>
      <c r="P262" s="19"/>
      <c r="Q262" s="19"/>
      <c r="R262" s="19"/>
      <c r="S262" s="55">
        <v>300</v>
      </c>
      <c r="T262" s="19"/>
      <c r="U262" s="19">
        <f t="shared" si="97"/>
        <v>121000</v>
      </c>
      <c r="V262" s="19"/>
      <c r="W262" s="19"/>
      <c r="X262" s="19"/>
      <c r="Y262" s="19"/>
      <c r="Z262" s="19"/>
      <c r="AA262" s="19"/>
      <c r="AB262" s="55">
        <v>55000</v>
      </c>
      <c r="AC262" s="101">
        <v>10000</v>
      </c>
      <c r="AD262" s="55">
        <v>56000</v>
      </c>
      <c r="AE262" s="19"/>
      <c r="AF262" s="19"/>
    </row>
    <row r="263" spans="1:32" x14ac:dyDescent="0.2">
      <c r="A263" s="4"/>
      <c r="B263" s="31"/>
      <c r="C263" s="42" t="s">
        <v>239</v>
      </c>
      <c r="D263" s="134" t="s">
        <v>240</v>
      </c>
      <c r="E263" s="32">
        <v>490430</v>
      </c>
      <c r="F263" s="20">
        <v>130413.33</v>
      </c>
      <c r="G263" s="11">
        <f t="shared" si="84"/>
        <v>0.26591629794262178</v>
      </c>
      <c r="H263" s="32">
        <v>142139.49</v>
      </c>
      <c r="I263" s="20">
        <v>450430</v>
      </c>
      <c r="J263" s="11">
        <f t="shared" si="85"/>
        <v>0.91843892094692414</v>
      </c>
      <c r="K263" s="24">
        <f t="shared" si="95"/>
        <v>490430</v>
      </c>
      <c r="L263" s="19">
        <f t="shared" si="96"/>
        <v>0</v>
      </c>
      <c r="M263" s="19"/>
      <c r="N263" s="19"/>
      <c r="O263" s="19"/>
      <c r="P263" s="19"/>
      <c r="Q263" s="19"/>
      <c r="R263" s="19"/>
      <c r="S263" s="19"/>
      <c r="T263" s="19"/>
      <c r="U263" s="19">
        <f t="shared" si="97"/>
        <v>490430</v>
      </c>
      <c r="V263" s="19"/>
      <c r="W263" s="19"/>
      <c r="X263" s="19"/>
      <c r="Y263" s="19"/>
      <c r="Z263" s="19"/>
      <c r="AA263" s="19"/>
      <c r="AB263" s="55">
        <v>184000</v>
      </c>
      <c r="AC263" s="55">
        <v>184000</v>
      </c>
      <c r="AD263" s="55">
        <v>122430</v>
      </c>
      <c r="AE263" s="19"/>
      <c r="AF263" s="19"/>
    </row>
    <row r="264" spans="1:32" x14ac:dyDescent="0.2">
      <c r="A264" s="4"/>
      <c r="B264" s="31"/>
      <c r="C264" s="42" t="s">
        <v>231</v>
      </c>
      <c r="D264" s="134" t="s">
        <v>232</v>
      </c>
      <c r="E264" s="32">
        <v>27000</v>
      </c>
      <c r="F264" s="20">
        <v>11576.92</v>
      </c>
      <c r="G264" s="11">
        <f t="shared" si="84"/>
        <v>0.42877481481481483</v>
      </c>
      <c r="H264" s="32">
        <v>16000</v>
      </c>
      <c r="I264" s="20">
        <v>45000</v>
      </c>
      <c r="J264" s="11">
        <f t="shared" si="85"/>
        <v>1.6666666666666667</v>
      </c>
      <c r="K264" s="24">
        <f t="shared" si="95"/>
        <v>27000</v>
      </c>
      <c r="L264" s="19">
        <f t="shared" si="96"/>
        <v>0</v>
      </c>
      <c r="M264" s="19"/>
      <c r="N264" s="19"/>
      <c r="O264" s="19"/>
      <c r="P264" s="19"/>
      <c r="Q264" s="19"/>
      <c r="R264" s="19"/>
      <c r="S264" s="19"/>
      <c r="T264" s="19"/>
      <c r="U264" s="19">
        <f t="shared" si="97"/>
        <v>27000</v>
      </c>
      <c r="V264" s="19"/>
      <c r="W264" s="19"/>
      <c r="X264" s="19"/>
      <c r="Y264" s="19"/>
      <c r="Z264" s="19"/>
      <c r="AA264" s="19"/>
      <c r="AB264" s="55">
        <v>6000</v>
      </c>
      <c r="AC264" s="55">
        <v>9000</v>
      </c>
      <c r="AD264" s="55">
        <v>12000</v>
      </c>
      <c r="AE264" s="19"/>
      <c r="AF264" s="19"/>
    </row>
    <row r="265" spans="1:32" x14ac:dyDescent="0.2">
      <c r="A265" s="4"/>
      <c r="B265" s="31"/>
      <c r="C265" s="42" t="s">
        <v>130</v>
      </c>
      <c r="D265" s="134" t="s">
        <v>131</v>
      </c>
      <c r="E265" s="32">
        <v>276192</v>
      </c>
      <c r="F265" s="20">
        <v>168790.86</v>
      </c>
      <c r="G265" s="11">
        <f t="shared" si="84"/>
        <v>0.61113594890510947</v>
      </c>
      <c r="H265" s="32">
        <v>225000</v>
      </c>
      <c r="I265" s="20">
        <v>228192</v>
      </c>
      <c r="J265" s="11">
        <f t="shared" si="85"/>
        <v>0.82620785540493569</v>
      </c>
      <c r="K265" s="24">
        <f t="shared" si="95"/>
        <v>275000</v>
      </c>
      <c r="L265" s="19">
        <f t="shared" si="96"/>
        <v>0</v>
      </c>
      <c r="M265" s="19"/>
      <c r="N265" s="19"/>
      <c r="O265" s="19"/>
      <c r="P265" s="19"/>
      <c r="Q265" s="19"/>
      <c r="R265" s="19"/>
      <c r="S265" s="19"/>
      <c r="T265" s="19"/>
      <c r="U265" s="19">
        <f t="shared" si="97"/>
        <v>275000</v>
      </c>
      <c r="V265" s="19"/>
      <c r="W265" s="19"/>
      <c r="X265" s="19"/>
      <c r="Y265" s="19"/>
      <c r="Z265" s="19"/>
      <c r="AA265" s="19"/>
      <c r="AB265" s="55">
        <v>150000</v>
      </c>
      <c r="AC265" s="55">
        <v>104000</v>
      </c>
      <c r="AD265" s="55">
        <v>21000</v>
      </c>
      <c r="AE265" s="19"/>
      <c r="AF265" s="19"/>
    </row>
    <row r="266" spans="1:32" x14ac:dyDescent="0.2">
      <c r="A266" s="4"/>
      <c r="B266" s="31"/>
      <c r="C266" s="42" t="s">
        <v>140</v>
      </c>
      <c r="D266" s="134" t="s">
        <v>141</v>
      </c>
      <c r="E266" s="32">
        <v>14000</v>
      </c>
      <c r="F266" s="20">
        <v>2284.36</v>
      </c>
      <c r="G266" s="11">
        <f t="shared" si="84"/>
        <v>0.16316857142857144</v>
      </c>
      <c r="H266" s="32">
        <v>3100</v>
      </c>
      <c r="I266" s="20">
        <v>12000</v>
      </c>
      <c r="J266" s="11">
        <f t="shared" si="85"/>
        <v>0.8571428571428571</v>
      </c>
      <c r="K266" s="24">
        <f t="shared" si="95"/>
        <v>6000</v>
      </c>
      <c r="L266" s="19">
        <f t="shared" si="96"/>
        <v>0</v>
      </c>
      <c r="M266" s="19"/>
      <c r="N266" s="19"/>
      <c r="O266" s="19"/>
      <c r="P266" s="19"/>
      <c r="Q266" s="19"/>
      <c r="R266" s="19"/>
      <c r="S266" s="19"/>
      <c r="T266" s="19"/>
      <c r="U266" s="19">
        <f t="shared" si="97"/>
        <v>6000</v>
      </c>
      <c r="V266" s="19"/>
      <c r="W266" s="19"/>
      <c r="X266" s="19"/>
      <c r="Y266" s="19"/>
      <c r="Z266" s="19"/>
      <c r="AA266" s="19"/>
      <c r="AB266" s="101">
        <v>2000</v>
      </c>
      <c r="AC266" s="101">
        <v>2000</v>
      </c>
      <c r="AD266" s="101">
        <v>2000</v>
      </c>
      <c r="AE266" s="19"/>
      <c r="AF266" s="19"/>
    </row>
    <row r="267" spans="1:32" x14ac:dyDescent="0.2">
      <c r="A267" s="4"/>
      <c r="B267" s="31"/>
      <c r="C267" s="42" t="s">
        <v>185</v>
      </c>
      <c r="D267" s="134" t="s">
        <v>186</v>
      </c>
      <c r="E267" s="32">
        <v>11900</v>
      </c>
      <c r="F267" s="20">
        <v>10495</v>
      </c>
      <c r="G267" s="11">
        <f t="shared" si="84"/>
        <v>0.88193277310924367</v>
      </c>
      <c r="H267" s="32">
        <v>0</v>
      </c>
      <c r="I267" s="20">
        <v>9500</v>
      </c>
      <c r="J267" s="11">
        <f t="shared" si="85"/>
        <v>0.79831932773109249</v>
      </c>
      <c r="K267" s="24">
        <f t="shared" si="95"/>
        <v>7300</v>
      </c>
      <c r="L267" s="19">
        <f t="shared" si="96"/>
        <v>0</v>
      </c>
      <c r="M267" s="19"/>
      <c r="N267" s="19"/>
      <c r="O267" s="19"/>
      <c r="P267" s="19"/>
      <c r="Q267" s="19"/>
      <c r="R267" s="19"/>
      <c r="S267" s="19"/>
      <c r="T267" s="19"/>
      <c r="U267" s="19">
        <f t="shared" si="97"/>
        <v>7300</v>
      </c>
      <c r="V267" s="19"/>
      <c r="W267" s="19"/>
      <c r="X267" s="19"/>
      <c r="Y267" s="19"/>
      <c r="Z267" s="19"/>
      <c r="AA267" s="19"/>
      <c r="AB267" s="55">
        <v>3000</v>
      </c>
      <c r="AC267" s="55">
        <v>3300</v>
      </c>
      <c r="AD267" s="55">
        <v>1000</v>
      </c>
      <c r="AE267" s="19"/>
      <c r="AF267" s="19"/>
    </row>
    <row r="268" spans="1:32" x14ac:dyDescent="0.2">
      <c r="A268" s="4"/>
      <c r="B268" s="31"/>
      <c r="C268" s="42" t="s">
        <v>124</v>
      </c>
      <c r="D268" s="134" t="s">
        <v>125</v>
      </c>
      <c r="E268" s="32">
        <v>101000</v>
      </c>
      <c r="F268" s="20">
        <v>71171.990000000005</v>
      </c>
      <c r="G268" s="11">
        <f t="shared" si="84"/>
        <v>0.70467316831683169</v>
      </c>
      <c r="H268" s="32">
        <v>100000</v>
      </c>
      <c r="I268" s="20">
        <v>69650</v>
      </c>
      <c r="J268" s="11">
        <f t="shared" si="85"/>
        <v>0.68960396039603955</v>
      </c>
      <c r="K268" s="24">
        <f t="shared" si="95"/>
        <v>88000</v>
      </c>
      <c r="L268" s="19">
        <f t="shared" si="96"/>
        <v>0</v>
      </c>
      <c r="M268" s="19"/>
      <c r="N268" s="19"/>
      <c r="O268" s="19"/>
      <c r="P268" s="19"/>
      <c r="Q268" s="19"/>
      <c r="R268" s="19"/>
      <c r="S268" s="19"/>
      <c r="T268" s="19"/>
      <c r="U268" s="19">
        <f t="shared" si="97"/>
        <v>88000</v>
      </c>
      <c r="V268" s="19"/>
      <c r="W268" s="19"/>
      <c r="X268" s="19"/>
      <c r="Y268" s="19"/>
      <c r="Z268" s="19"/>
      <c r="AA268" s="19"/>
      <c r="AB268" s="101">
        <v>30000</v>
      </c>
      <c r="AC268" s="101">
        <v>32000</v>
      </c>
      <c r="AD268" s="55">
        <v>26000</v>
      </c>
      <c r="AE268" s="19"/>
      <c r="AF268" s="19"/>
    </row>
    <row r="269" spans="1:32" ht="33.75" x14ac:dyDescent="0.2">
      <c r="A269" s="4"/>
      <c r="B269" s="31"/>
      <c r="C269" s="42" t="s">
        <v>233</v>
      </c>
      <c r="D269" s="134" t="s">
        <v>234</v>
      </c>
      <c r="E269" s="32">
        <v>84000</v>
      </c>
      <c r="F269" s="20">
        <v>51678.63</v>
      </c>
      <c r="G269" s="11">
        <f t="shared" si="84"/>
        <v>0.61522178571428565</v>
      </c>
      <c r="H269" s="20">
        <v>84000</v>
      </c>
      <c r="I269" s="20">
        <v>0</v>
      </c>
      <c r="J269" s="11">
        <f t="shared" si="85"/>
        <v>0</v>
      </c>
      <c r="K269" s="24">
        <f t="shared" si="95"/>
        <v>59000</v>
      </c>
      <c r="L269" s="19">
        <f t="shared" si="96"/>
        <v>59000</v>
      </c>
      <c r="M269" s="19"/>
      <c r="N269" s="19"/>
      <c r="O269" s="19"/>
      <c r="P269" s="19"/>
      <c r="Q269" s="99">
        <v>59000</v>
      </c>
      <c r="R269" s="19"/>
      <c r="S269" s="19"/>
      <c r="T269" s="19"/>
      <c r="U269" s="19">
        <f t="shared" si="97"/>
        <v>0</v>
      </c>
      <c r="V269" s="19"/>
      <c r="W269" s="19"/>
      <c r="X269" s="19"/>
      <c r="Y269" s="19"/>
      <c r="Z269" s="19"/>
      <c r="AA269" s="19"/>
      <c r="AB269" s="19">
        <v>0</v>
      </c>
      <c r="AC269" s="19">
        <v>0</v>
      </c>
      <c r="AD269" s="19">
        <v>0</v>
      </c>
      <c r="AE269" s="19"/>
      <c r="AF269" s="19"/>
    </row>
    <row r="270" spans="1:32" ht="22.5" x14ac:dyDescent="0.2">
      <c r="A270" s="4"/>
      <c r="B270" s="31"/>
      <c r="C270" s="42" t="s">
        <v>147</v>
      </c>
      <c r="D270" s="134" t="s">
        <v>148</v>
      </c>
      <c r="E270" s="32">
        <v>6800</v>
      </c>
      <c r="F270" s="20">
        <v>3564.48</v>
      </c>
      <c r="G270" s="11">
        <f t="shared" si="84"/>
        <v>0.52418823529411762</v>
      </c>
      <c r="H270" s="20">
        <v>6000</v>
      </c>
      <c r="I270" s="20">
        <v>6800</v>
      </c>
      <c r="J270" s="11">
        <f t="shared" si="85"/>
        <v>1</v>
      </c>
      <c r="K270" s="24">
        <f t="shared" si="95"/>
        <v>6800</v>
      </c>
      <c r="L270" s="19">
        <f t="shared" si="96"/>
        <v>0</v>
      </c>
      <c r="M270" s="19"/>
      <c r="N270" s="19"/>
      <c r="O270" s="19"/>
      <c r="P270" s="19"/>
      <c r="Q270" s="19"/>
      <c r="R270" s="19"/>
      <c r="S270" s="19"/>
      <c r="T270" s="19"/>
      <c r="U270" s="19">
        <f t="shared" si="97"/>
        <v>6800</v>
      </c>
      <c r="V270" s="19"/>
      <c r="W270" s="19"/>
      <c r="X270" s="19"/>
      <c r="Y270" s="19"/>
      <c r="Z270" s="19"/>
      <c r="AA270" s="19"/>
      <c r="AB270" s="55">
        <v>2500</v>
      </c>
      <c r="AC270" s="55">
        <v>2500</v>
      </c>
      <c r="AD270" s="55">
        <v>1800</v>
      </c>
      <c r="AE270" s="19"/>
      <c r="AF270" s="19"/>
    </row>
    <row r="271" spans="1:32" x14ac:dyDescent="0.2">
      <c r="A271" s="4"/>
      <c r="B271" s="31"/>
      <c r="C271" s="42" t="s">
        <v>191</v>
      </c>
      <c r="D271" s="134" t="s">
        <v>192</v>
      </c>
      <c r="E271" s="32">
        <v>2900</v>
      </c>
      <c r="F271" s="20">
        <v>208.24</v>
      </c>
      <c r="G271" s="11">
        <f t="shared" si="84"/>
        <v>7.1806896551724148E-2</v>
      </c>
      <c r="H271" s="20">
        <v>2000</v>
      </c>
      <c r="I271" s="20">
        <v>3500</v>
      </c>
      <c r="J271" s="11">
        <f t="shared" si="85"/>
        <v>1.2068965517241379</v>
      </c>
      <c r="K271" s="24">
        <f t="shared" si="95"/>
        <v>3500</v>
      </c>
      <c r="L271" s="19">
        <f t="shared" si="96"/>
        <v>0</v>
      </c>
      <c r="M271" s="19"/>
      <c r="N271" s="19"/>
      <c r="O271" s="19"/>
      <c r="P271" s="19"/>
      <c r="Q271" s="19"/>
      <c r="R271" s="19"/>
      <c r="S271" s="19"/>
      <c r="T271" s="19"/>
      <c r="U271" s="19">
        <f t="shared" si="97"/>
        <v>3500</v>
      </c>
      <c r="V271" s="19"/>
      <c r="W271" s="19"/>
      <c r="X271" s="19"/>
      <c r="Y271" s="19"/>
      <c r="Z271" s="19"/>
      <c r="AA271" s="19"/>
      <c r="AB271" s="55">
        <v>1000</v>
      </c>
      <c r="AC271" s="55">
        <v>1000</v>
      </c>
      <c r="AD271" s="55">
        <v>1500</v>
      </c>
      <c r="AE271" s="19"/>
      <c r="AF271" s="19"/>
    </row>
    <row r="272" spans="1:32" x14ac:dyDescent="0.2">
      <c r="A272" s="4"/>
      <c r="B272" s="31"/>
      <c r="C272" s="42" t="s">
        <v>126</v>
      </c>
      <c r="D272" s="134" t="s">
        <v>127</v>
      </c>
      <c r="E272" s="32">
        <v>2800</v>
      </c>
      <c r="F272" s="20">
        <v>2571.8000000000002</v>
      </c>
      <c r="G272" s="11">
        <f t="shared" si="84"/>
        <v>0.91850000000000009</v>
      </c>
      <c r="H272" s="20">
        <v>2500</v>
      </c>
      <c r="I272" s="20">
        <v>3500</v>
      </c>
      <c r="J272" s="11">
        <f t="shared" si="85"/>
        <v>1.25</v>
      </c>
      <c r="K272" s="24">
        <f t="shared" si="95"/>
        <v>2800</v>
      </c>
      <c r="L272" s="19">
        <f t="shared" si="96"/>
        <v>0</v>
      </c>
      <c r="M272" s="19"/>
      <c r="N272" s="19"/>
      <c r="O272" s="19"/>
      <c r="P272" s="19"/>
      <c r="Q272" s="19"/>
      <c r="R272" s="19"/>
      <c r="S272" s="19"/>
      <c r="T272" s="19"/>
      <c r="U272" s="19">
        <f t="shared" si="97"/>
        <v>2800</v>
      </c>
      <c r="V272" s="19"/>
      <c r="W272" s="19"/>
      <c r="X272" s="19"/>
      <c r="Y272" s="19"/>
      <c r="Z272" s="19"/>
      <c r="AA272" s="19"/>
      <c r="AB272" s="55">
        <v>500</v>
      </c>
      <c r="AC272" s="55">
        <v>1500</v>
      </c>
      <c r="AD272" s="55">
        <v>800</v>
      </c>
      <c r="AE272" s="19"/>
      <c r="AF272" s="19"/>
    </row>
    <row r="273" spans="1:32" ht="22.5" x14ac:dyDescent="0.2">
      <c r="A273" s="4"/>
      <c r="B273" s="31"/>
      <c r="C273" s="42" t="s">
        <v>193</v>
      </c>
      <c r="D273" s="134" t="s">
        <v>194</v>
      </c>
      <c r="E273" s="32">
        <v>162107</v>
      </c>
      <c r="F273" s="20">
        <v>162107</v>
      </c>
      <c r="G273" s="11">
        <f t="shared" si="84"/>
        <v>1</v>
      </c>
      <c r="H273" s="20">
        <v>162107</v>
      </c>
      <c r="I273" s="20">
        <v>165227</v>
      </c>
      <c r="J273" s="11">
        <f t="shared" si="85"/>
        <v>1.0192465470337493</v>
      </c>
      <c r="K273" s="24">
        <f t="shared" si="95"/>
        <v>158425</v>
      </c>
      <c r="L273" s="19">
        <f t="shared" si="96"/>
        <v>0</v>
      </c>
      <c r="M273" s="19"/>
      <c r="N273" s="19"/>
      <c r="O273" s="19"/>
      <c r="P273" s="19"/>
      <c r="Q273" s="19"/>
      <c r="R273" s="19"/>
      <c r="S273" s="19"/>
      <c r="T273" s="19"/>
      <c r="U273" s="19">
        <f t="shared" si="97"/>
        <v>158425</v>
      </c>
      <c r="V273" s="19"/>
      <c r="W273" s="19"/>
      <c r="X273" s="19"/>
      <c r="Y273" s="19"/>
      <c r="Z273" s="19"/>
      <c r="AA273" s="19"/>
      <c r="AB273" s="55">
        <v>55952</v>
      </c>
      <c r="AC273" s="55">
        <v>55809</v>
      </c>
      <c r="AD273" s="55">
        <v>46664</v>
      </c>
      <c r="AE273" s="19"/>
      <c r="AF273" s="19"/>
    </row>
    <row r="274" spans="1:32" x14ac:dyDescent="0.2">
      <c r="A274" s="4"/>
      <c r="B274" s="31"/>
      <c r="C274" s="42" t="s">
        <v>235</v>
      </c>
      <c r="D274" s="134" t="s">
        <v>236</v>
      </c>
      <c r="E274" s="32">
        <v>100</v>
      </c>
      <c r="F274" s="20">
        <v>87</v>
      </c>
      <c r="G274" s="11">
        <f t="shared" si="84"/>
        <v>0.87</v>
      </c>
      <c r="H274" s="20">
        <v>0</v>
      </c>
      <c r="I274" s="20">
        <v>100</v>
      </c>
      <c r="J274" s="11">
        <f t="shared" si="85"/>
        <v>1</v>
      </c>
      <c r="K274" s="24">
        <f t="shared" si="95"/>
        <v>370</v>
      </c>
      <c r="L274" s="19">
        <f t="shared" si="96"/>
        <v>0</v>
      </c>
      <c r="M274" s="19"/>
      <c r="N274" s="19"/>
      <c r="O274" s="19"/>
      <c r="P274" s="19"/>
      <c r="Q274" s="19"/>
      <c r="R274" s="19"/>
      <c r="S274" s="19"/>
      <c r="T274" s="19"/>
      <c r="U274" s="19">
        <f t="shared" si="97"/>
        <v>370</v>
      </c>
      <c r="V274" s="19"/>
      <c r="W274" s="19"/>
      <c r="X274" s="19"/>
      <c r="Y274" s="19"/>
      <c r="Z274" s="19"/>
      <c r="AA274" s="19"/>
      <c r="AB274" s="19"/>
      <c r="AC274" s="55">
        <v>270</v>
      </c>
      <c r="AD274" s="55">
        <v>100</v>
      </c>
      <c r="AE274" s="19"/>
      <c r="AF274" s="19"/>
    </row>
    <row r="275" spans="1:32" ht="22.5" x14ac:dyDescent="0.2">
      <c r="A275" s="4"/>
      <c r="B275" s="31"/>
      <c r="C275" s="42" t="s">
        <v>195</v>
      </c>
      <c r="D275" s="134" t="s">
        <v>196</v>
      </c>
      <c r="E275" s="32">
        <v>1500</v>
      </c>
      <c r="F275" s="20">
        <v>0</v>
      </c>
      <c r="G275" s="11">
        <f t="shared" si="84"/>
        <v>0</v>
      </c>
      <c r="H275" s="20">
        <v>0</v>
      </c>
      <c r="I275" s="20">
        <v>3500</v>
      </c>
      <c r="J275" s="11">
        <f t="shared" si="85"/>
        <v>2.3333333333333335</v>
      </c>
      <c r="K275" s="24">
        <f t="shared" si="95"/>
        <v>2000</v>
      </c>
      <c r="L275" s="19">
        <f t="shared" si="96"/>
        <v>0</v>
      </c>
      <c r="M275" s="19"/>
      <c r="N275" s="19"/>
      <c r="O275" s="19"/>
      <c r="P275" s="19"/>
      <c r="Q275" s="19"/>
      <c r="R275" s="19"/>
      <c r="S275" s="19"/>
      <c r="T275" s="19"/>
      <c r="U275" s="19">
        <f t="shared" si="97"/>
        <v>2000</v>
      </c>
      <c r="V275" s="19"/>
      <c r="W275" s="19"/>
      <c r="X275" s="19"/>
      <c r="Y275" s="19"/>
      <c r="Z275" s="19"/>
      <c r="AA275" s="19"/>
      <c r="AB275" s="55">
        <v>500</v>
      </c>
      <c r="AC275" s="55">
        <v>500</v>
      </c>
      <c r="AD275" s="55">
        <v>1000</v>
      </c>
      <c r="AE275" s="19"/>
      <c r="AF275" s="19"/>
    </row>
    <row r="276" spans="1:32" ht="22.5" x14ac:dyDescent="0.2">
      <c r="A276" s="4"/>
      <c r="B276" s="31"/>
      <c r="C276" s="33" t="s">
        <v>380</v>
      </c>
      <c r="D276" s="34" t="s">
        <v>382</v>
      </c>
      <c r="E276" s="32">
        <v>0</v>
      </c>
      <c r="F276" s="20">
        <v>0</v>
      </c>
      <c r="G276" s="11">
        <v>0</v>
      </c>
      <c r="H276" s="20">
        <v>0</v>
      </c>
      <c r="I276" s="20">
        <v>38628</v>
      </c>
      <c r="J276" s="11">
        <v>0</v>
      </c>
      <c r="K276" s="2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55"/>
      <c r="AC276" s="55"/>
      <c r="AD276" s="55"/>
      <c r="AE276" s="19"/>
      <c r="AF276" s="19"/>
    </row>
    <row r="277" spans="1:32" ht="15.75" x14ac:dyDescent="0.2">
      <c r="A277" s="3"/>
      <c r="B277" s="165" t="s">
        <v>243</v>
      </c>
      <c r="C277" s="166"/>
      <c r="D277" s="167" t="s">
        <v>244</v>
      </c>
      <c r="E277" s="168">
        <f>E278</f>
        <v>1240000</v>
      </c>
      <c r="F277" s="168">
        <f t="shared" ref="F277:AF277" si="98">F278</f>
        <v>357297.42</v>
      </c>
      <c r="G277" s="170">
        <f t="shared" ref="G277:G320" si="99">F277/E277</f>
        <v>0.28814308064516125</v>
      </c>
      <c r="H277" s="168">
        <f t="shared" si="98"/>
        <v>1240000</v>
      </c>
      <c r="I277" s="168">
        <f t="shared" si="98"/>
        <v>1050000</v>
      </c>
      <c r="J277" s="170">
        <f t="shared" ref="J277:J320" si="100">I277/E277</f>
        <v>0.84677419354838712</v>
      </c>
      <c r="K277" s="112">
        <f t="shared" si="98"/>
        <v>1240000</v>
      </c>
      <c r="L277" s="72">
        <f t="shared" si="98"/>
        <v>0</v>
      </c>
      <c r="M277" s="72">
        <f t="shared" si="98"/>
        <v>0</v>
      </c>
      <c r="N277" s="72">
        <f t="shared" si="98"/>
        <v>0</v>
      </c>
      <c r="O277" s="72"/>
      <c r="P277" s="72">
        <f t="shared" si="98"/>
        <v>0</v>
      </c>
      <c r="Q277" s="72">
        <f t="shared" si="98"/>
        <v>0</v>
      </c>
      <c r="R277" s="72">
        <f t="shared" si="98"/>
        <v>0</v>
      </c>
      <c r="S277" s="73">
        <f>S278</f>
        <v>0</v>
      </c>
      <c r="T277" s="72">
        <f t="shared" si="98"/>
        <v>0</v>
      </c>
      <c r="U277" s="72">
        <f t="shared" si="98"/>
        <v>1240000</v>
      </c>
      <c r="V277" s="72">
        <f t="shared" si="98"/>
        <v>0</v>
      </c>
      <c r="W277" s="72">
        <f t="shared" si="98"/>
        <v>0</v>
      </c>
      <c r="X277" s="72">
        <f t="shared" si="98"/>
        <v>0</v>
      </c>
      <c r="Y277" s="72">
        <f t="shared" si="98"/>
        <v>0</v>
      </c>
      <c r="Z277" s="72">
        <f t="shared" si="98"/>
        <v>0</v>
      </c>
      <c r="AA277" s="72">
        <f t="shared" si="98"/>
        <v>0</v>
      </c>
      <c r="AB277" s="72">
        <f t="shared" si="98"/>
        <v>0</v>
      </c>
      <c r="AC277" s="72">
        <f t="shared" si="98"/>
        <v>0</v>
      </c>
      <c r="AD277" s="72">
        <f t="shared" si="98"/>
        <v>0</v>
      </c>
      <c r="AE277" s="72">
        <f t="shared" si="98"/>
        <v>1240000</v>
      </c>
      <c r="AF277" s="72">
        <f t="shared" si="98"/>
        <v>0</v>
      </c>
    </row>
    <row r="278" spans="1:32" x14ac:dyDescent="0.2">
      <c r="A278" s="4"/>
      <c r="B278" s="31"/>
      <c r="C278" s="42" t="s">
        <v>124</v>
      </c>
      <c r="D278" s="134" t="s">
        <v>125</v>
      </c>
      <c r="E278" s="32">
        <v>1240000</v>
      </c>
      <c r="F278" s="20">
        <v>357297.42</v>
      </c>
      <c r="G278" s="11">
        <f t="shared" si="99"/>
        <v>0.28814308064516125</v>
      </c>
      <c r="H278" s="20">
        <v>1240000</v>
      </c>
      <c r="I278" s="20">
        <v>1050000</v>
      </c>
      <c r="J278" s="11">
        <f t="shared" si="100"/>
        <v>0.84677419354838712</v>
      </c>
      <c r="K278" s="24">
        <f>L278+T278+U278+AF278</f>
        <v>1240000</v>
      </c>
      <c r="L278" s="19">
        <f>SUM(M278:S278)</f>
        <v>0</v>
      </c>
      <c r="M278" s="19"/>
      <c r="N278" s="19"/>
      <c r="O278" s="19"/>
      <c r="P278" s="19"/>
      <c r="Q278" s="19"/>
      <c r="R278" s="19"/>
      <c r="S278" s="9"/>
      <c r="T278" s="19"/>
      <c r="U278" s="21">
        <v>1240000</v>
      </c>
      <c r="V278" s="19"/>
      <c r="W278" s="19"/>
      <c r="X278" s="19"/>
      <c r="Y278" s="19"/>
      <c r="Z278" s="19"/>
      <c r="AA278" s="19"/>
      <c r="AB278" s="19"/>
      <c r="AC278" s="19"/>
      <c r="AD278" s="19"/>
      <c r="AE278" s="101">
        <v>1240000</v>
      </c>
      <c r="AF278" s="19"/>
    </row>
    <row r="279" spans="1:32" ht="22.5" x14ac:dyDescent="0.2">
      <c r="A279" s="3"/>
      <c r="B279" s="165" t="s">
        <v>245</v>
      </c>
      <c r="C279" s="166"/>
      <c r="D279" s="167" t="s">
        <v>246</v>
      </c>
      <c r="E279" s="168">
        <f>E280+E281</f>
        <v>77910</v>
      </c>
      <c r="F279" s="171">
        <f t="shared" ref="F279:AF279" si="101">F280+F281</f>
        <v>42215.5</v>
      </c>
      <c r="G279" s="170">
        <f t="shared" si="99"/>
        <v>0.54184957001668588</v>
      </c>
      <c r="H279" s="171">
        <f t="shared" si="101"/>
        <v>77910</v>
      </c>
      <c r="I279" s="171">
        <f t="shared" si="101"/>
        <v>116082</v>
      </c>
      <c r="J279" s="170">
        <f t="shared" si="100"/>
        <v>1.4899499422410474</v>
      </c>
      <c r="K279" s="112">
        <f t="shared" si="101"/>
        <v>77910</v>
      </c>
      <c r="L279" s="72">
        <f t="shared" si="101"/>
        <v>0</v>
      </c>
      <c r="M279" s="72">
        <f t="shared" si="101"/>
        <v>0</v>
      </c>
      <c r="N279" s="72">
        <f t="shared" si="101"/>
        <v>0</v>
      </c>
      <c r="O279" s="72"/>
      <c r="P279" s="72">
        <f t="shared" si="101"/>
        <v>0</v>
      </c>
      <c r="Q279" s="72">
        <f t="shared" si="101"/>
        <v>0</v>
      </c>
      <c r="R279" s="72">
        <f t="shared" si="101"/>
        <v>0</v>
      </c>
      <c r="S279" s="73">
        <f>S280+S281</f>
        <v>0</v>
      </c>
      <c r="T279" s="72">
        <f t="shared" si="101"/>
        <v>0</v>
      </c>
      <c r="U279" s="72">
        <f t="shared" si="101"/>
        <v>77910</v>
      </c>
      <c r="V279" s="72">
        <f t="shared" si="101"/>
        <v>12216</v>
      </c>
      <c r="W279" s="72">
        <f t="shared" si="101"/>
        <v>12713</v>
      </c>
      <c r="X279" s="72">
        <f t="shared" si="101"/>
        <v>8275</v>
      </c>
      <c r="Y279" s="72">
        <f t="shared" si="101"/>
        <v>11028</v>
      </c>
      <c r="Z279" s="72">
        <f t="shared" si="101"/>
        <v>12388</v>
      </c>
      <c r="AA279" s="72">
        <f t="shared" si="101"/>
        <v>5611</v>
      </c>
      <c r="AB279" s="72">
        <f t="shared" si="101"/>
        <v>5340</v>
      </c>
      <c r="AC279" s="72">
        <f t="shared" si="101"/>
        <v>5397</v>
      </c>
      <c r="AD279" s="72">
        <f t="shared" si="101"/>
        <v>4942</v>
      </c>
      <c r="AE279" s="72">
        <f t="shared" si="101"/>
        <v>0</v>
      </c>
      <c r="AF279" s="72">
        <f t="shared" si="101"/>
        <v>0</v>
      </c>
    </row>
    <row r="280" spans="1:32" x14ac:dyDescent="0.2">
      <c r="A280" s="4"/>
      <c r="B280" s="31"/>
      <c r="C280" s="42" t="s">
        <v>124</v>
      </c>
      <c r="D280" s="134" t="s">
        <v>125</v>
      </c>
      <c r="E280" s="32">
        <v>33700</v>
      </c>
      <c r="F280" s="20">
        <v>23996</v>
      </c>
      <c r="G280" s="11">
        <f t="shared" si="99"/>
        <v>0.71204747774480714</v>
      </c>
      <c r="H280" s="32">
        <v>33700</v>
      </c>
      <c r="I280" s="20">
        <v>25500</v>
      </c>
      <c r="J280" s="11">
        <f t="shared" si="100"/>
        <v>0.75667655786350152</v>
      </c>
      <c r="K280" s="24">
        <f>L280+T280+U280+AF280</f>
        <v>34000</v>
      </c>
      <c r="L280" s="19">
        <f>SUM(M280:S280)</f>
        <v>0</v>
      </c>
      <c r="M280" s="19"/>
      <c r="N280" s="19"/>
      <c r="O280" s="19"/>
      <c r="P280" s="19"/>
      <c r="Q280" s="19"/>
      <c r="R280" s="19"/>
      <c r="S280" s="19"/>
      <c r="T280" s="19"/>
      <c r="U280" s="19">
        <f>SUM(V280:AE280)</f>
        <v>34000</v>
      </c>
      <c r="V280" s="55">
        <v>5000</v>
      </c>
      <c r="W280" s="55">
        <v>12000</v>
      </c>
      <c r="X280" s="19"/>
      <c r="Y280" s="55">
        <v>2000</v>
      </c>
      <c r="Z280" s="55">
        <v>4000</v>
      </c>
      <c r="AA280" s="55">
        <v>3000</v>
      </c>
      <c r="AB280" s="55">
        <v>2000</v>
      </c>
      <c r="AC280" s="55">
        <v>3000</v>
      </c>
      <c r="AD280" s="55">
        <v>3000</v>
      </c>
      <c r="AE280" s="19"/>
      <c r="AF280" s="19"/>
    </row>
    <row r="281" spans="1:32" ht="22.5" x14ac:dyDescent="0.2">
      <c r="A281" s="4"/>
      <c r="B281" s="31"/>
      <c r="C281" s="42" t="s">
        <v>195</v>
      </c>
      <c r="D281" s="134" t="s">
        <v>196</v>
      </c>
      <c r="E281" s="32">
        <v>44210</v>
      </c>
      <c r="F281" s="20">
        <v>18219.5</v>
      </c>
      <c r="G281" s="11">
        <f t="shared" si="99"/>
        <v>0.41211264419814519</v>
      </c>
      <c r="H281" s="32">
        <v>44210</v>
      </c>
      <c r="I281" s="20">
        <v>90582</v>
      </c>
      <c r="J281" s="11">
        <f t="shared" si="100"/>
        <v>2.0489029631305136</v>
      </c>
      <c r="K281" s="24">
        <f>L281+T281+U281+AF281</f>
        <v>43910</v>
      </c>
      <c r="L281" s="19">
        <f>SUM(M281:S281)</f>
        <v>0</v>
      </c>
      <c r="M281" s="19"/>
      <c r="N281" s="19"/>
      <c r="O281" s="19"/>
      <c r="P281" s="19"/>
      <c r="Q281" s="19"/>
      <c r="R281" s="19"/>
      <c r="S281" s="19"/>
      <c r="T281" s="19"/>
      <c r="U281" s="19">
        <f>SUM(V281:AE281)</f>
        <v>43910</v>
      </c>
      <c r="V281" s="101">
        <v>7216</v>
      </c>
      <c r="W281" s="101">
        <v>713</v>
      </c>
      <c r="X281" s="55">
        <v>8275</v>
      </c>
      <c r="Y281" s="55">
        <v>9028</v>
      </c>
      <c r="Z281" s="55">
        <v>8388</v>
      </c>
      <c r="AA281" s="55">
        <v>2611</v>
      </c>
      <c r="AB281" s="55">
        <v>3340</v>
      </c>
      <c r="AC281" s="55">
        <v>2397</v>
      </c>
      <c r="AD281" s="55">
        <v>1942</v>
      </c>
      <c r="AE281" s="19"/>
      <c r="AF281" s="19"/>
    </row>
    <row r="282" spans="1:32" ht="15.75" x14ac:dyDescent="0.2">
      <c r="A282" s="3"/>
      <c r="B282" s="165" t="s">
        <v>53</v>
      </c>
      <c r="C282" s="166"/>
      <c r="D282" s="167" t="s">
        <v>54</v>
      </c>
      <c r="E282" s="168">
        <f>E283+E284+E285+E286+E287+E288+E289+E290+E291+E292+E293+E294+E295</f>
        <v>820974</v>
      </c>
      <c r="F282" s="168">
        <f>F283+F284+F285+F286+F287+F288+F289+F290+F291+F292+F293+F294+F295</f>
        <v>392121.85</v>
      </c>
      <c r="G282" s="170">
        <f t="shared" si="99"/>
        <v>0.47763004674934889</v>
      </c>
      <c r="H282" s="171">
        <f>H283+H284+H285+H286+H287+H288+H289+H290+H291+H292+H293+H294+H295</f>
        <v>690341.02666666673</v>
      </c>
      <c r="I282" s="171">
        <f>I283+I284+I285+I286+I287+I288+I289+I290+I291+I292+I293+I294+I295</f>
        <v>820155</v>
      </c>
      <c r="J282" s="170">
        <f t="shared" si="100"/>
        <v>0.9990024044610426</v>
      </c>
      <c r="K282" s="112" t="e">
        <f>K283+K284+K285+K286+K287+K288+K289+K290+K291+K292+K293+K294+#REF!</f>
        <v>#REF!</v>
      </c>
      <c r="L282" s="72" t="e">
        <f>L283+L284+L285+L286+L287+L288+L289+L290+L291+L292+L293+L294+#REF!</f>
        <v>#REF!</v>
      </c>
      <c r="M282" s="72" t="e">
        <f>M283+M284+M285+M286+M287+M288+M289+M290+M291+M292+M293+M294+#REF!</f>
        <v>#REF!</v>
      </c>
      <c r="N282" s="72" t="e">
        <f>N283+N284+N285+N286+N287+N288+N289+N290+N291+N292+N293+N294+#REF!</f>
        <v>#REF!</v>
      </c>
      <c r="O282" s="72"/>
      <c r="P282" s="72" t="e">
        <f>P283+P284+P285+P286+P287+P288+P289+P290+P291+P292+P293+P294+#REF!</f>
        <v>#REF!</v>
      </c>
      <c r="Q282" s="72" t="e">
        <f>Q283+Q284+Q285+Q286+Q287+Q288+Q289+Q290+Q291+Q292+Q293+Q294+#REF!</f>
        <v>#REF!</v>
      </c>
      <c r="R282" s="72" t="e">
        <f>R283+R284+R285+R286+R287+R288+R289+R290+R291+R292+R293+R294+#REF!</f>
        <v>#REF!</v>
      </c>
      <c r="S282" s="73" t="e">
        <f>S283+S284+S285+S286+S287+S288+S289+S290+S291+S292+S293+S294+#REF!</f>
        <v>#REF!</v>
      </c>
      <c r="T282" s="72" t="e">
        <f>T283+T284+T285+T286+T287+T288+T289+T290+T291+T292+T293+T294+#REF!</f>
        <v>#REF!</v>
      </c>
      <c r="U282" s="72" t="e">
        <f>U283+U284+U285+U286+U287+U288+U289+U290+U291+U292+U293+U294+#REF!</f>
        <v>#REF!</v>
      </c>
      <c r="V282" s="72" t="e">
        <f>V283+V284+V285+V286+V287+V288+V289+V290+V291+V292+V293+V294+#REF!</f>
        <v>#REF!</v>
      </c>
      <c r="W282" s="72" t="e">
        <f>W283+W284+W285+W286+W287+W288+W289+W290+W291+W292+W293+W294+#REF!</f>
        <v>#REF!</v>
      </c>
      <c r="X282" s="72" t="e">
        <f>X283+X284+X285+X286+X287+X288+X289+X290+X291+X292+X293+X294+#REF!</f>
        <v>#REF!</v>
      </c>
      <c r="Y282" s="72" t="e">
        <f>Y283+Y284+Y285+Y286+Y287+Y288+Y289+Y290+Y291+Y292+Y293+Y294+#REF!</f>
        <v>#REF!</v>
      </c>
      <c r="Z282" s="72" t="e">
        <f>Z283+Z284+Z285+Z286+Z287+Z288+Z289+Z290+Z291+Z292+Z293+Z294+#REF!</f>
        <v>#REF!</v>
      </c>
      <c r="AA282" s="72" t="e">
        <f>AA283+AA284+AA285+AA286+AA287+AA288+AA289+AA290+AA291+AA292+AA293+AA294+#REF!</f>
        <v>#REF!</v>
      </c>
      <c r="AB282" s="72" t="e">
        <f>AB283+AB284+AB285+AB286+AB287+AB288+AB289+AB290+AB291+AB292+AB293+AB294+#REF!</f>
        <v>#REF!</v>
      </c>
      <c r="AC282" s="72" t="e">
        <f>AC283+AC284+AC285+AC286+AC287+AC288+AC289+AC290+AC291+AC292+AC293+AC294+#REF!</f>
        <v>#REF!</v>
      </c>
      <c r="AD282" s="72" t="e">
        <f>AD283+AD284+AD285+AD286+AD287+AD288+AD289+AD290+AD291+AD292+AD293+AD294+#REF!</f>
        <v>#REF!</v>
      </c>
      <c r="AE282" s="72" t="e">
        <f>AE283+AE284+AE285+AE286+AE287+AE288+AE289+AE290+AE291+AE292+AE293+AE294+#REF!</f>
        <v>#REF!</v>
      </c>
      <c r="AF282" s="72" t="e">
        <f>AF283+AF284+AF285+AF286+AF287+AF288+AF289+AF290+AF291+AF292+AF293+AF294+#REF!</f>
        <v>#REF!</v>
      </c>
    </row>
    <row r="283" spans="1:32" ht="22.5" x14ac:dyDescent="0.2">
      <c r="A283" s="4"/>
      <c r="B283" s="31"/>
      <c r="C283" s="42" t="s">
        <v>171</v>
      </c>
      <c r="D283" s="134" t="s">
        <v>172</v>
      </c>
      <c r="E283" s="32">
        <v>2000</v>
      </c>
      <c r="F283" s="20">
        <v>1097.4000000000001</v>
      </c>
      <c r="G283" s="11">
        <f t="shared" si="99"/>
        <v>0.54870000000000008</v>
      </c>
      <c r="H283" s="32">
        <f>F283/3*4</f>
        <v>1463.2</v>
      </c>
      <c r="I283" s="20">
        <v>2000</v>
      </c>
      <c r="J283" s="11">
        <f t="shared" si="100"/>
        <v>1</v>
      </c>
      <c r="K283" s="24">
        <f>L283+T283+U283+AF283</f>
        <v>2000</v>
      </c>
      <c r="L283" s="19">
        <f>SUM(M283:S283)</f>
        <v>0</v>
      </c>
      <c r="M283" s="19"/>
      <c r="N283" s="19"/>
      <c r="O283" s="19"/>
      <c r="P283" s="19"/>
      <c r="Q283" s="19"/>
      <c r="R283" s="19"/>
      <c r="S283" s="19"/>
      <c r="T283" s="19"/>
      <c r="U283" s="19">
        <f>SUM(V283:AE283)</f>
        <v>2000</v>
      </c>
      <c r="V283" s="19">
        <v>0</v>
      </c>
      <c r="W283" s="55">
        <v>2000</v>
      </c>
      <c r="X283" s="19"/>
      <c r="Y283" s="19"/>
      <c r="Z283" s="19"/>
      <c r="AA283" s="19"/>
      <c r="AB283" s="19"/>
      <c r="AC283" s="19"/>
      <c r="AD283" s="19"/>
      <c r="AE283" s="19"/>
      <c r="AF283" s="19"/>
    </row>
    <row r="284" spans="1:32" x14ac:dyDescent="0.2">
      <c r="A284" s="4"/>
      <c r="B284" s="31"/>
      <c r="C284" s="42" t="s">
        <v>116</v>
      </c>
      <c r="D284" s="134" t="s">
        <v>117</v>
      </c>
      <c r="E284" s="32">
        <v>382060</v>
      </c>
      <c r="F284" s="20">
        <v>235699.03</v>
      </c>
      <c r="G284" s="11">
        <f t="shared" si="99"/>
        <v>0.61691626969585933</v>
      </c>
      <c r="H284" s="32">
        <v>382060</v>
      </c>
      <c r="I284" s="20">
        <v>361764</v>
      </c>
      <c r="J284" s="11">
        <f t="shared" si="100"/>
        <v>0.94687745380306754</v>
      </c>
      <c r="K284" s="24">
        <f t="shared" ref="K284:K294" si="102">L284+T284+U284+AF284</f>
        <v>382060</v>
      </c>
      <c r="L284" s="19">
        <f t="shared" ref="L284:L294" si="103">SUM(M284:S284)</f>
        <v>0</v>
      </c>
      <c r="M284" s="19"/>
      <c r="N284" s="19"/>
      <c r="O284" s="19"/>
      <c r="P284" s="19"/>
      <c r="Q284" s="19"/>
      <c r="R284" s="19"/>
      <c r="S284" s="19"/>
      <c r="T284" s="19"/>
      <c r="U284" s="19">
        <f t="shared" ref="U284:U294" si="104">SUM(V284:AE284)</f>
        <v>382060</v>
      </c>
      <c r="V284" s="55">
        <v>80760</v>
      </c>
      <c r="W284" s="55">
        <v>301300</v>
      </c>
      <c r="X284" s="19"/>
      <c r="Y284" s="19"/>
      <c r="Z284" s="19"/>
      <c r="AA284" s="19"/>
      <c r="AB284" s="19"/>
      <c r="AC284" s="19"/>
      <c r="AD284" s="19"/>
      <c r="AE284" s="19"/>
      <c r="AF284" s="19"/>
    </row>
    <row r="285" spans="1:32" x14ac:dyDescent="0.2">
      <c r="A285" s="4"/>
      <c r="B285" s="31"/>
      <c r="C285" s="42" t="s">
        <v>173</v>
      </c>
      <c r="D285" s="134" t="s">
        <v>174</v>
      </c>
      <c r="E285" s="32">
        <v>20550</v>
      </c>
      <c r="F285" s="20">
        <v>20550</v>
      </c>
      <c r="G285" s="11">
        <f t="shared" si="99"/>
        <v>1</v>
      </c>
      <c r="H285" s="32">
        <v>20550</v>
      </c>
      <c r="I285" s="20">
        <v>23693</v>
      </c>
      <c r="J285" s="11">
        <f t="shared" si="100"/>
        <v>1.1529440389294403</v>
      </c>
      <c r="K285" s="24">
        <f t="shared" si="102"/>
        <v>20550</v>
      </c>
      <c r="L285" s="19">
        <f t="shared" si="103"/>
        <v>0</v>
      </c>
      <c r="M285" s="19"/>
      <c r="N285" s="19"/>
      <c r="O285" s="19"/>
      <c r="P285" s="19"/>
      <c r="Q285" s="19"/>
      <c r="R285" s="19"/>
      <c r="S285" s="19"/>
      <c r="T285" s="19"/>
      <c r="U285" s="19">
        <f t="shared" si="104"/>
        <v>20550</v>
      </c>
      <c r="V285" s="55">
        <v>5950</v>
      </c>
      <c r="W285" s="55">
        <v>14600</v>
      </c>
      <c r="X285" s="19"/>
      <c r="Y285" s="19"/>
      <c r="Z285" s="19"/>
      <c r="AA285" s="19"/>
      <c r="AB285" s="19"/>
      <c r="AC285" s="19"/>
      <c r="AD285" s="19"/>
      <c r="AE285" s="19"/>
      <c r="AF285" s="19"/>
    </row>
    <row r="286" spans="1:32" x14ac:dyDescent="0.2">
      <c r="A286" s="4"/>
      <c r="B286" s="31"/>
      <c r="C286" s="42" t="s">
        <v>118</v>
      </c>
      <c r="D286" s="134" t="s">
        <v>119</v>
      </c>
      <c r="E286" s="32">
        <v>62070</v>
      </c>
      <c r="F286" s="20">
        <v>38102.53</v>
      </c>
      <c r="G286" s="11">
        <f t="shared" si="99"/>
        <v>0.61386386338005472</v>
      </c>
      <c r="H286" s="32">
        <v>62000</v>
      </c>
      <c r="I286" s="20">
        <v>65936</v>
      </c>
      <c r="J286" s="11">
        <f t="shared" si="100"/>
        <v>1.0622845174802642</v>
      </c>
      <c r="K286" s="24">
        <f t="shared" si="102"/>
        <v>62070</v>
      </c>
      <c r="L286" s="19">
        <f t="shared" si="103"/>
        <v>0</v>
      </c>
      <c r="M286" s="19"/>
      <c r="N286" s="19"/>
      <c r="O286" s="19"/>
      <c r="P286" s="19"/>
      <c r="Q286" s="19"/>
      <c r="R286" s="19"/>
      <c r="S286" s="19"/>
      <c r="T286" s="19"/>
      <c r="U286" s="19">
        <f t="shared" si="104"/>
        <v>62070</v>
      </c>
      <c r="V286" s="55">
        <v>15070</v>
      </c>
      <c r="W286" s="55">
        <v>47000</v>
      </c>
      <c r="X286" s="19"/>
      <c r="Y286" s="19"/>
      <c r="Z286" s="19"/>
      <c r="AA286" s="19"/>
      <c r="AB286" s="19"/>
      <c r="AC286" s="19"/>
      <c r="AD286" s="19"/>
      <c r="AE286" s="19"/>
      <c r="AF286" s="19"/>
    </row>
    <row r="287" spans="1:32" x14ac:dyDescent="0.2">
      <c r="A287" s="4"/>
      <c r="B287" s="31"/>
      <c r="C287" s="42" t="s">
        <v>120</v>
      </c>
      <c r="D287" s="134" t="s">
        <v>121</v>
      </c>
      <c r="E287" s="32">
        <v>8581</v>
      </c>
      <c r="F287" s="20">
        <v>3806.3</v>
      </c>
      <c r="G287" s="11">
        <f t="shared" si="99"/>
        <v>0.4435730101386785</v>
      </c>
      <c r="H287" s="32">
        <f t="shared" ref="H287:H295" si="105">F287/3*4</f>
        <v>5075.0666666666666</v>
      </c>
      <c r="I287" s="20">
        <v>9333</v>
      </c>
      <c r="J287" s="11">
        <f t="shared" si="100"/>
        <v>1.0876354737210114</v>
      </c>
      <c r="K287" s="24">
        <f t="shared" si="102"/>
        <v>8581</v>
      </c>
      <c r="L287" s="19">
        <f t="shared" si="103"/>
        <v>0</v>
      </c>
      <c r="M287" s="19"/>
      <c r="N287" s="19"/>
      <c r="O287" s="19"/>
      <c r="P287" s="19"/>
      <c r="Q287" s="19"/>
      <c r="R287" s="19"/>
      <c r="S287" s="19"/>
      <c r="T287" s="19"/>
      <c r="U287" s="19">
        <f t="shared" si="104"/>
        <v>8581</v>
      </c>
      <c r="V287" s="55">
        <v>2124</v>
      </c>
      <c r="W287" s="55">
        <v>6457</v>
      </c>
      <c r="X287" s="19"/>
      <c r="Y287" s="19"/>
      <c r="Z287" s="19"/>
      <c r="AA287" s="19"/>
      <c r="AB287" s="19"/>
      <c r="AC287" s="19"/>
      <c r="AD287" s="19"/>
      <c r="AE287" s="19"/>
      <c r="AF287" s="19"/>
    </row>
    <row r="288" spans="1:32" hidden="1" x14ac:dyDescent="0.2">
      <c r="A288" s="4"/>
      <c r="B288" s="31"/>
      <c r="C288" s="42" t="s">
        <v>128</v>
      </c>
      <c r="D288" s="134" t="s">
        <v>129</v>
      </c>
      <c r="E288" s="32"/>
      <c r="F288" s="20"/>
      <c r="G288" s="11">
        <v>0</v>
      </c>
      <c r="H288" s="32">
        <f t="shared" si="105"/>
        <v>0</v>
      </c>
      <c r="I288" s="20"/>
      <c r="J288" s="11">
        <v>0</v>
      </c>
      <c r="K288" s="24">
        <f t="shared" si="102"/>
        <v>0</v>
      </c>
      <c r="L288" s="19">
        <f t="shared" si="103"/>
        <v>0</v>
      </c>
      <c r="M288" s="19"/>
      <c r="N288" s="19"/>
      <c r="O288" s="19"/>
      <c r="P288" s="19"/>
      <c r="Q288" s="19"/>
      <c r="R288" s="19"/>
      <c r="S288" s="19"/>
      <c r="T288" s="19"/>
      <c r="U288" s="19">
        <f t="shared" si="104"/>
        <v>0</v>
      </c>
      <c r="V288" s="19">
        <v>0</v>
      </c>
      <c r="W288" s="19">
        <v>0</v>
      </c>
      <c r="X288" s="19"/>
      <c r="Y288" s="19"/>
      <c r="Z288" s="19"/>
      <c r="AA288" s="19"/>
      <c r="AB288" s="19"/>
      <c r="AC288" s="19"/>
      <c r="AD288" s="19"/>
      <c r="AE288" s="19"/>
      <c r="AF288" s="19"/>
    </row>
    <row r="289" spans="1:32" x14ac:dyDescent="0.2">
      <c r="A289" s="4"/>
      <c r="B289" s="31"/>
      <c r="C289" s="42" t="s">
        <v>122</v>
      </c>
      <c r="D289" s="134" t="s">
        <v>123</v>
      </c>
      <c r="E289" s="32">
        <v>28600</v>
      </c>
      <c r="F289" s="20">
        <v>4929.71</v>
      </c>
      <c r="G289" s="11">
        <f t="shared" si="99"/>
        <v>0.17236748251748252</v>
      </c>
      <c r="H289" s="32">
        <f t="shared" si="105"/>
        <v>6572.9466666666667</v>
      </c>
      <c r="I289" s="20">
        <v>30600</v>
      </c>
      <c r="J289" s="11">
        <f t="shared" si="100"/>
        <v>1.06993006993007</v>
      </c>
      <c r="K289" s="24">
        <f t="shared" si="102"/>
        <v>28600</v>
      </c>
      <c r="L289" s="19">
        <f t="shared" si="103"/>
        <v>0</v>
      </c>
      <c r="M289" s="19"/>
      <c r="N289" s="19"/>
      <c r="O289" s="19"/>
      <c r="P289" s="19"/>
      <c r="Q289" s="19"/>
      <c r="R289" s="19"/>
      <c r="S289" s="19"/>
      <c r="T289" s="19"/>
      <c r="U289" s="19">
        <f t="shared" si="104"/>
        <v>28600</v>
      </c>
      <c r="V289" s="55">
        <v>11100</v>
      </c>
      <c r="W289" s="101">
        <v>17500</v>
      </c>
      <c r="X289" s="19"/>
      <c r="Y289" s="19"/>
      <c r="Z289" s="19"/>
      <c r="AA289" s="19"/>
      <c r="AB289" s="19"/>
      <c r="AC289" s="19"/>
      <c r="AD289" s="19"/>
      <c r="AE289" s="19"/>
      <c r="AF289" s="19"/>
    </row>
    <row r="290" spans="1:32" x14ac:dyDescent="0.2">
      <c r="A290" s="4"/>
      <c r="B290" s="31"/>
      <c r="C290" s="42" t="s">
        <v>239</v>
      </c>
      <c r="D290" s="134" t="s">
        <v>240</v>
      </c>
      <c r="E290" s="32">
        <v>298000</v>
      </c>
      <c r="F290" s="20">
        <v>75668.77</v>
      </c>
      <c r="G290" s="11">
        <f t="shared" si="99"/>
        <v>0.25392204697986581</v>
      </c>
      <c r="H290" s="32">
        <v>200000</v>
      </c>
      <c r="I290" s="20">
        <v>298200</v>
      </c>
      <c r="J290" s="11">
        <f t="shared" si="100"/>
        <v>1.0006711409395974</v>
      </c>
      <c r="K290" s="24">
        <f t="shared" si="102"/>
        <v>298000</v>
      </c>
      <c r="L290" s="19">
        <f t="shared" si="103"/>
        <v>0</v>
      </c>
      <c r="M290" s="19"/>
      <c r="N290" s="19"/>
      <c r="O290" s="19"/>
      <c r="P290" s="19"/>
      <c r="Q290" s="19"/>
      <c r="R290" s="19"/>
      <c r="S290" s="19"/>
      <c r="T290" s="19"/>
      <c r="U290" s="19">
        <f t="shared" si="104"/>
        <v>298000</v>
      </c>
      <c r="V290" s="55">
        <v>100000</v>
      </c>
      <c r="W290" s="55">
        <v>198000</v>
      </c>
      <c r="X290" s="19"/>
      <c r="Y290" s="19"/>
      <c r="Z290" s="19"/>
      <c r="AA290" s="19"/>
      <c r="AB290" s="19"/>
      <c r="AC290" s="19"/>
      <c r="AD290" s="19"/>
      <c r="AE290" s="19"/>
      <c r="AF290" s="19"/>
    </row>
    <row r="291" spans="1:32" x14ac:dyDescent="0.2">
      <c r="A291" s="4"/>
      <c r="B291" s="31"/>
      <c r="C291" s="42" t="s">
        <v>140</v>
      </c>
      <c r="D291" s="134" t="s">
        <v>141</v>
      </c>
      <c r="E291" s="32">
        <v>2500</v>
      </c>
      <c r="F291" s="20">
        <v>0</v>
      </c>
      <c r="G291" s="11">
        <v>0</v>
      </c>
      <c r="H291" s="32">
        <f t="shared" si="105"/>
        <v>0</v>
      </c>
      <c r="I291" s="20">
        <v>4000</v>
      </c>
      <c r="J291" s="11">
        <v>0</v>
      </c>
      <c r="K291" s="24">
        <f t="shared" si="102"/>
        <v>5000</v>
      </c>
      <c r="L291" s="19">
        <f t="shared" si="103"/>
        <v>0</v>
      </c>
      <c r="M291" s="19"/>
      <c r="N291" s="19"/>
      <c r="O291" s="19"/>
      <c r="P291" s="19"/>
      <c r="Q291" s="19"/>
      <c r="R291" s="19"/>
      <c r="S291" s="19"/>
      <c r="T291" s="19"/>
      <c r="U291" s="19">
        <f t="shared" si="104"/>
        <v>5000</v>
      </c>
      <c r="V291" s="55">
        <v>2500</v>
      </c>
      <c r="W291" s="55">
        <v>2500</v>
      </c>
      <c r="X291" s="19"/>
      <c r="Y291" s="19"/>
      <c r="Z291" s="19"/>
      <c r="AA291" s="19"/>
      <c r="AB291" s="19"/>
      <c r="AC291" s="19"/>
      <c r="AD291" s="19"/>
      <c r="AE291" s="19"/>
      <c r="AF291" s="19"/>
    </row>
    <row r="292" spans="1:32" x14ac:dyDescent="0.2">
      <c r="A292" s="4"/>
      <c r="B292" s="31"/>
      <c r="C292" s="42" t="s">
        <v>185</v>
      </c>
      <c r="D292" s="134" t="s">
        <v>186</v>
      </c>
      <c r="E292" s="32">
        <v>2000</v>
      </c>
      <c r="F292" s="20">
        <v>0</v>
      </c>
      <c r="G292" s="11">
        <f t="shared" si="99"/>
        <v>0</v>
      </c>
      <c r="H292" s="32">
        <f t="shared" si="105"/>
        <v>0</v>
      </c>
      <c r="I292" s="20">
        <v>2000</v>
      </c>
      <c r="J292" s="11">
        <f t="shared" si="100"/>
        <v>1</v>
      </c>
      <c r="K292" s="24">
        <f t="shared" si="102"/>
        <v>2000</v>
      </c>
      <c r="L292" s="19">
        <f t="shared" si="103"/>
        <v>0</v>
      </c>
      <c r="M292" s="19"/>
      <c r="N292" s="19"/>
      <c r="O292" s="19"/>
      <c r="P292" s="19"/>
      <c r="Q292" s="19"/>
      <c r="R292" s="19"/>
      <c r="S292" s="19"/>
      <c r="T292" s="19"/>
      <c r="U292" s="19">
        <f t="shared" si="104"/>
        <v>2000</v>
      </c>
      <c r="V292" s="55">
        <v>900</v>
      </c>
      <c r="W292" s="55">
        <v>1100</v>
      </c>
      <c r="X292" s="19"/>
      <c r="Y292" s="19"/>
      <c r="Z292" s="19"/>
      <c r="AA292" s="19"/>
      <c r="AB292" s="19"/>
      <c r="AC292" s="19"/>
      <c r="AD292" s="19"/>
      <c r="AE292" s="19"/>
      <c r="AF292" s="19"/>
    </row>
    <row r="293" spans="1:32" x14ac:dyDescent="0.2">
      <c r="A293" s="4"/>
      <c r="B293" s="31"/>
      <c r="C293" s="42" t="s">
        <v>124</v>
      </c>
      <c r="D293" s="134" t="s">
        <v>125</v>
      </c>
      <c r="E293" s="32">
        <v>3400</v>
      </c>
      <c r="F293" s="20">
        <v>1055.1099999999999</v>
      </c>
      <c r="G293" s="11">
        <f t="shared" si="99"/>
        <v>0.31032647058823526</v>
      </c>
      <c r="H293" s="32">
        <f t="shared" si="105"/>
        <v>1406.8133333333333</v>
      </c>
      <c r="I293" s="20">
        <v>3400</v>
      </c>
      <c r="J293" s="11">
        <f t="shared" si="100"/>
        <v>1</v>
      </c>
      <c r="K293" s="24">
        <f t="shared" si="102"/>
        <v>3400</v>
      </c>
      <c r="L293" s="19">
        <f t="shared" si="103"/>
        <v>0</v>
      </c>
      <c r="M293" s="19"/>
      <c r="N293" s="19"/>
      <c r="O293" s="19"/>
      <c r="P293" s="19"/>
      <c r="Q293" s="19"/>
      <c r="R293" s="19"/>
      <c r="S293" s="19"/>
      <c r="T293" s="19"/>
      <c r="U293" s="19">
        <f t="shared" si="104"/>
        <v>3400</v>
      </c>
      <c r="V293" s="101">
        <v>3400</v>
      </c>
      <c r="W293" s="101">
        <v>0</v>
      </c>
      <c r="X293" s="19"/>
      <c r="Y293" s="19"/>
      <c r="Z293" s="19"/>
      <c r="AA293" s="19"/>
      <c r="AB293" s="19"/>
      <c r="AC293" s="19"/>
      <c r="AD293" s="19"/>
      <c r="AE293" s="19"/>
      <c r="AF293" s="19"/>
    </row>
    <row r="294" spans="1:32" ht="22.5" x14ac:dyDescent="0.2">
      <c r="A294" s="4"/>
      <c r="B294" s="31"/>
      <c r="C294" s="42" t="s">
        <v>193</v>
      </c>
      <c r="D294" s="134" t="s">
        <v>194</v>
      </c>
      <c r="E294" s="32">
        <v>11213</v>
      </c>
      <c r="F294" s="20">
        <v>11213</v>
      </c>
      <c r="G294" s="11">
        <f t="shared" si="99"/>
        <v>1</v>
      </c>
      <c r="H294" s="32">
        <v>11213</v>
      </c>
      <c r="I294" s="20">
        <v>14943</v>
      </c>
      <c r="J294" s="11">
        <f t="shared" si="100"/>
        <v>1.3326496031392134</v>
      </c>
      <c r="K294" s="24">
        <f t="shared" si="102"/>
        <v>11213</v>
      </c>
      <c r="L294" s="19">
        <f t="shared" si="103"/>
        <v>0</v>
      </c>
      <c r="M294" s="19"/>
      <c r="N294" s="19"/>
      <c r="O294" s="19"/>
      <c r="P294" s="19"/>
      <c r="Q294" s="19"/>
      <c r="R294" s="19"/>
      <c r="S294" s="19"/>
      <c r="T294" s="19"/>
      <c r="U294" s="19">
        <f t="shared" si="104"/>
        <v>11213</v>
      </c>
      <c r="V294" s="55">
        <v>2950</v>
      </c>
      <c r="W294" s="55">
        <v>8263</v>
      </c>
      <c r="X294" s="19"/>
      <c r="Y294" s="19"/>
      <c r="Z294" s="19"/>
      <c r="AA294" s="19"/>
      <c r="AB294" s="19"/>
      <c r="AC294" s="19"/>
      <c r="AD294" s="19"/>
      <c r="AE294" s="19"/>
      <c r="AF294" s="19"/>
    </row>
    <row r="295" spans="1:32" ht="22.5" x14ac:dyDescent="0.2">
      <c r="A295" s="4"/>
      <c r="B295" s="31"/>
      <c r="C295" s="33" t="s">
        <v>380</v>
      </c>
      <c r="D295" s="34" t="s">
        <v>382</v>
      </c>
      <c r="E295" s="32">
        <v>0</v>
      </c>
      <c r="F295" s="20">
        <v>0</v>
      </c>
      <c r="G295" s="11">
        <v>0</v>
      </c>
      <c r="H295" s="32">
        <f t="shared" si="105"/>
        <v>0</v>
      </c>
      <c r="I295" s="20">
        <v>4286</v>
      </c>
      <c r="J295" s="11">
        <v>0</v>
      </c>
      <c r="K295" s="24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55"/>
      <c r="W295" s="55"/>
      <c r="X295" s="19"/>
      <c r="Y295" s="19"/>
      <c r="Z295" s="19"/>
      <c r="AA295" s="19"/>
      <c r="AB295" s="19"/>
      <c r="AC295" s="19"/>
      <c r="AD295" s="19"/>
      <c r="AE295" s="19"/>
      <c r="AF295" s="19"/>
    </row>
    <row r="296" spans="1:32" ht="78.75" x14ac:dyDescent="0.2">
      <c r="A296" s="3"/>
      <c r="B296" s="165" t="s">
        <v>247</v>
      </c>
      <c r="C296" s="166"/>
      <c r="D296" s="167" t="s">
        <v>248</v>
      </c>
      <c r="E296" s="168">
        <f>E297+E298+E299+E300+E301+E302+E303+E304+E305+E306+E307+E308</f>
        <v>279449</v>
      </c>
      <c r="F296" s="168">
        <f>F297+F298+F299+F300+F301+F302+F303+F304+F305+F306+F307+F308</f>
        <v>212901.41999999998</v>
      </c>
      <c r="G296" s="170">
        <f t="shared" si="99"/>
        <v>0.76186144877956263</v>
      </c>
      <c r="H296" s="168">
        <f>H297+H298+H299+H300+H301+H302+H303+H304+H305+H306+H307+H308</f>
        <v>251946</v>
      </c>
      <c r="I296" s="168">
        <f>I297+I298+I299+I300+I301+I302+I303+I304+I305+I306+I307+I308</f>
        <v>558751</v>
      </c>
      <c r="J296" s="170">
        <f t="shared" si="100"/>
        <v>1.9994739648379489</v>
      </c>
      <c r="K296" s="112" t="e">
        <f>K297+K298+K299+K300+K301+K302+K303+K304+K305+#REF!+K306+K307</f>
        <v>#REF!</v>
      </c>
      <c r="L296" s="72" t="e">
        <f>L297+L298+L299+L300+L301+L302+L303+L304+L305+#REF!+L306+L307</f>
        <v>#REF!</v>
      </c>
      <c r="M296" s="72" t="e">
        <f>M297+M298+M299+M300+M301+M302+M303+M304+M305+#REF!+M306+M307</f>
        <v>#REF!</v>
      </c>
      <c r="N296" s="72" t="e">
        <f>N297+N298+N299+N300+N301+N302+N303+N304+N305+#REF!+N306+N307</f>
        <v>#REF!</v>
      </c>
      <c r="O296" s="72"/>
      <c r="P296" s="72" t="e">
        <f>P297+P298+P299+P300+P301+P302+P303+P304+P305+#REF!+P306+P307</f>
        <v>#REF!</v>
      </c>
      <c r="Q296" s="72" t="e">
        <f>Q297+Q298+Q299+Q300+Q301+Q302+Q303+Q304+Q305+#REF!+Q306+Q307</f>
        <v>#REF!</v>
      </c>
      <c r="R296" s="72" t="e">
        <f>R297+R298+R299+R300+R301+R302+R303+R304+R305+#REF!+R306+R307</f>
        <v>#REF!</v>
      </c>
      <c r="S296" s="73" t="e">
        <f>S297+S298+S299+S300+S301+S302+S303+S304+S305+#REF!+S306+S307</f>
        <v>#REF!</v>
      </c>
      <c r="T296" s="72" t="e">
        <f>T297+T298+T299+T300+T301+T302+T303+T304+T305+#REF!+T306+T307</f>
        <v>#REF!</v>
      </c>
      <c r="U296" s="72" t="e">
        <f>U297+U298+U299+U300+U301+U302+U303+U304+U305+#REF!+U306+U307</f>
        <v>#REF!</v>
      </c>
      <c r="V296" s="72" t="e">
        <f>V297+V298+V299+V300+V301+V302+V303+V304+V305+#REF!+V306+V307</f>
        <v>#REF!</v>
      </c>
      <c r="W296" s="72" t="e">
        <f>W297+W298+W299+W300+W301+W302+W303+W304+W305+#REF!+W306+W307</f>
        <v>#REF!</v>
      </c>
      <c r="X296" s="72" t="e">
        <f>X297+X298+X299+X300+X301+X302+X303+X304+X305+#REF!+X306+X307</f>
        <v>#REF!</v>
      </c>
      <c r="Y296" s="72" t="e">
        <f>Y297+Y298+Y299+Y300+Y301+Y302+Y303+Y304+Y305+#REF!+Y306+Y307</f>
        <v>#REF!</v>
      </c>
      <c r="Z296" s="72" t="e">
        <f>Z297+Z298+Z299+Z300+Z301+Z302+Z303+Z304+Z305+#REF!+Z306+Z307</f>
        <v>#REF!</v>
      </c>
      <c r="AA296" s="72" t="e">
        <f>AA297+AA298+AA299+AA300+AA301+AA302+AA303+AA304+AA305+#REF!+AA306+AA307</f>
        <v>#REF!</v>
      </c>
      <c r="AB296" s="72" t="e">
        <f>AB297+AB298+AB299+AB300+AB301+AB302+AB303+AB304+AB305+#REF!+AB306+AB307</f>
        <v>#REF!</v>
      </c>
      <c r="AC296" s="72" t="e">
        <f>AC297+AC298+AC299+AC300+AC301+AC302+AC303+AC304+AC305+#REF!+AC306+AC307</f>
        <v>#REF!</v>
      </c>
      <c r="AD296" s="72" t="e">
        <f>AD297+AD298+AD299+AD300+AD301+AD302+AD303+AD304+AD305+#REF!+AD306+AD307</f>
        <v>#REF!</v>
      </c>
      <c r="AE296" s="72" t="e">
        <f>AE297+AE298+AE299+AE300+AE301+AE302+AE303+AE304+AE305+#REF!+AE306+AE307</f>
        <v>#REF!</v>
      </c>
      <c r="AF296" s="72" t="e">
        <f>AF297+AF298+AF299+AF300+AF301+AF302+AF303+AF304+AF305+#REF!+AF306+AF307</f>
        <v>#REF!</v>
      </c>
    </row>
    <row r="297" spans="1:32" ht="22.5" hidden="1" x14ac:dyDescent="0.2">
      <c r="A297" s="4"/>
      <c r="B297" s="31"/>
      <c r="C297" s="42" t="s">
        <v>237</v>
      </c>
      <c r="D297" s="134" t="s">
        <v>238</v>
      </c>
      <c r="E297" s="32">
        <v>0</v>
      </c>
      <c r="F297" s="20">
        <v>0</v>
      </c>
      <c r="G297" s="11">
        <v>0</v>
      </c>
      <c r="H297" s="32">
        <v>0</v>
      </c>
      <c r="I297" s="20">
        <f>K297</f>
        <v>0</v>
      </c>
      <c r="J297" s="11">
        <v>0</v>
      </c>
      <c r="K297" s="24">
        <f>L297+T297+U297+AF297</f>
        <v>0</v>
      </c>
      <c r="L297" s="19">
        <f>SUM(M297:S297)</f>
        <v>0</v>
      </c>
      <c r="M297" s="19"/>
      <c r="N297" s="19"/>
      <c r="O297" s="19"/>
      <c r="P297" s="19"/>
      <c r="Q297" s="19"/>
      <c r="R297" s="19"/>
      <c r="S297" s="19"/>
      <c r="T297" s="19"/>
      <c r="U297" s="19">
        <f>SUM(V297:AE297)</f>
        <v>0</v>
      </c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</row>
    <row r="298" spans="1:32" ht="22.5" x14ac:dyDescent="0.2">
      <c r="A298" s="4"/>
      <c r="B298" s="31"/>
      <c r="C298" s="42" t="s">
        <v>171</v>
      </c>
      <c r="D298" s="134" t="s">
        <v>172</v>
      </c>
      <c r="E298" s="32">
        <v>197</v>
      </c>
      <c r="F298" s="20">
        <v>0</v>
      </c>
      <c r="G298" s="11">
        <v>0</v>
      </c>
      <c r="H298" s="32">
        <f>F298/3*4</f>
        <v>0</v>
      </c>
      <c r="I298" s="20">
        <v>360</v>
      </c>
      <c r="J298" s="11">
        <v>0</v>
      </c>
      <c r="K298" s="24">
        <f t="shared" ref="K298:K307" si="106">L298+T298+U298+AF298</f>
        <v>197</v>
      </c>
      <c r="L298" s="19">
        <f t="shared" ref="L298:L307" si="107">SUM(M298:S298)</f>
        <v>0</v>
      </c>
      <c r="M298" s="19"/>
      <c r="N298" s="19"/>
      <c r="O298" s="19"/>
      <c r="P298" s="19"/>
      <c r="Q298" s="19"/>
      <c r="R298" s="19"/>
      <c r="S298" s="19"/>
      <c r="T298" s="19"/>
      <c r="U298" s="19">
        <f t="shared" ref="U298:U307" si="108">SUM(V298:AE298)</f>
        <v>197</v>
      </c>
      <c r="V298" s="19"/>
      <c r="W298" s="19"/>
      <c r="X298" s="55">
        <v>153</v>
      </c>
      <c r="Y298" s="55">
        <v>29</v>
      </c>
      <c r="Z298" s="19"/>
      <c r="AA298" s="55">
        <v>15</v>
      </c>
      <c r="AB298" s="19"/>
      <c r="AC298" s="19"/>
      <c r="AD298" s="19">
        <v>0</v>
      </c>
      <c r="AE298" s="19"/>
      <c r="AF298" s="19"/>
    </row>
    <row r="299" spans="1:32" x14ac:dyDescent="0.2">
      <c r="A299" s="4"/>
      <c r="B299" s="31"/>
      <c r="C299" s="42" t="s">
        <v>116</v>
      </c>
      <c r="D299" s="134" t="s">
        <v>117</v>
      </c>
      <c r="E299" s="32">
        <v>192180</v>
      </c>
      <c r="F299" s="20">
        <v>152919.04999999999</v>
      </c>
      <c r="G299" s="11">
        <f t="shared" si="99"/>
        <v>0.79570740972005405</v>
      </c>
      <c r="H299" s="32">
        <v>190000</v>
      </c>
      <c r="I299" s="20">
        <v>427554</v>
      </c>
      <c r="J299" s="11">
        <f t="shared" si="100"/>
        <v>2.2247580393381203</v>
      </c>
      <c r="K299" s="24">
        <f t="shared" si="106"/>
        <v>197890</v>
      </c>
      <c r="L299" s="19">
        <f t="shared" si="107"/>
        <v>0</v>
      </c>
      <c r="M299" s="19"/>
      <c r="N299" s="19"/>
      <c r="O299" s="19"/>
      <c r="P299" s="19"/>
      <c r="Q299" s="19"/>
      <c r="R299" s="19"/>
      <c r="S299" s="19"/>
      <c r="T299" s="19"/>
      <c r="U299" s="19">
        <f t="shared" si="108"/>
        <v>197890</v>
      </c>
      <c r="V299" s="55">
        <v>10000</v>
      </c>
      <c r="W299" s="19"/>
      <c r="X299" s="55">
        <v>51400</v>
      </c>
      <c r="Y299" s="55">
        <v>9690</v>
      </c>
      <c r="Z299" s="55"/>
      <c r="AA299" s="55">
        <v>5000</v>
      </c>
      <c r="AB299" s="19"/>
      <c r="AC299" s="19"/>
      <c r="AD299" s="55">
        <v>121800</v>
      </c>
      <c r="AE299" s="19"/>
      <c r="AF299" s="19"/>
    </row>
    <row r="300" spans="1:32" x14ac:dyDescent="0.2">
      <c r="A300" s="4"/>
      <c r="B300" s="31"/>
      <c r="C300" s="42" t="s">
        <v>173</v>
      </c>
      <c r="D300" s="134" t="s">
        <v>174</v>
      </c>
      <c r="E300" s="32">
        <v>13740</v>
      </c>
      <c r="F300" s="20">
        <v>13740</v>
      </c>
      <c r="G300" s="11">
        <f t="shared" si="99"/>
        <v>1</v>
      </c>
      <c r="H300" s="32">
        <v>13740</v>
      </c>
      <c r="I300" s="20">
        <v>14450</v>
      </c>
      <c r="J300" s="11">
        <f t="shared" si="100"/>
        <v>1.0516739446870451</v>
      </c>
      <c r="K300" s="24">
        <f t="shared" si="106"/>
        <v>13740</v>
      </c>
      <c r="L300" s="19">
        <f t="shared" si="107"/>
        <v>0</v>
      </c>
      <c r="M300" s="19"/>
      <c r="N300" s="19"/>
      <c r="O300" s="19"/>
      <c r="P300" s="19"/>
      <c r="Q300" s="19"/>
      <c r="R300" s="19"/>
      <c r="S300" s="19"/>
      <c r="T300" s="19"/>
      <c r="U300" s="19">
        <f t="shared" si="108"/>
        <v>13740</v>
      </c>
      <c r="V300" s="19"/>
      <c r="W300" s="19"/>
      <c r="X300" s="55">
        <v>3600</v>
      </c>
      <c r="Y300" s="55">
        <v>300</v>
      </c>
      <c r="Z300" s="19"/>
      <c r="AA300" s="55">
        <v>500</v>
      </c>
      <c r="AB300" s="19"/>
      <c r="AC300" s="19"/>
      <c r="AD300" s="55">
        <v>9340</v>
      </c>
      <c r="AE300" s="19"/>
      <c r="AF300" s="19"/>
    </row>
    <row r="301" spans="1:32" x14ac:dyDescent="0.2">
      <c r="A301" s="4"/>
      <c r="B301" s="31"/>
      <c r="C301" s="42" t="s">
        <v>118</v>
      </c>
      <c r="D301" s="134" t="s">
        <v>119</v>
      </c>
      <c r="E301" s="32">
        <v>35517</v>
      </c>
      <c r="F301" s="20">
        <v>25380.67</v>
      </c>
      <c r="G301" s="11">
        <f t="shared" si="99"/>
        <v>0.71460624489680991</v>
      </c>
      <c r="H301" s="32">
        <v>35517</v>
      </c>
      <c r="I301" s="20">
        <v>58424</v>
      </c>
      <c r="J301" s="11">
        <f t="shared" si="100"/>
        <v>1.6449587521468592</v>
      </c>
      <c r="K301" s="24">
        <f t="shared" si="106"/>
        <v>39846</v>
      </c>
      <c r="L301" s="19">
        <f t="shared" si="107"/>
        <v>0</v>
      </c>
      <c r="M301" s="19"/>
      <c r="N301" s="19"/>
      <c r="O301" s="19"/>
      <c r="P301" s="19"/>
      <c r="Q301" s="19"/>
      <c r="R301" s="19"/>
      <c r="S301" s="19"/>
      <c r="T301" s="19"/>
      <c r="U301" s="19">
        <f t="shared" si="108"/>
        <v>39846</v>
      </c>
      <c r="V301" s="55">
        <v>1500</v>
      </c>
      <c r="W301" s="19"/>
      <c r="X301" s="55">
        <v>9460</v>
      </c>
      <c r="Y301" s="55">
        <v>1720</v>
      </c>
      <c r="Z301" s="19"/>
      <c r="AA301" s="55">
        <v>1170</v>
      </c>
      <c r="AB301" s="19"/>
      <c r="AC301" s="19"/>
      <c r="AD301" s="55">
        <v>25996</v>
      </c>
      <c r="AE301" s="19"/>
      <c r="AF301" s="19"/>
    </row>
    <row r="302" spans="1:32" x14ac:dyDescent="0.2">
      <c r="A302" s="4"/>
      <c r="B302" s="31"/>
      <c r="C302" s="42" t="s">
        <v>120</v>
      </c>
      <c r="D302" s="134" t="s">
        <v>121</v>
      </c>
      <c r="E302" s="32">
        <v>5681</v>
      </c>
      <c r="F302" s="20">
        <v>3613.5</v>
      </c>
      <c r="G302" s="11">
        <f t="shared" si="99"/>
        <v>0.63606759373349764</v>
      </c>
      <c r="H302" s="32">
        <v>5681</v>
      </c>
      <c r="I302" s="20">
        <v>8902</v>
      </c>
      <c r="J302" s="11">
        <f t="shared" si="100"/>
        <v>1.5669776447808483</v>
      </c>
      <c r="K302" s="24">
        <f t="shared" si="106"/>
        <v>10111</v>
      </c>
      <c r="L302" s="19">
        <f t="shared" si="107"/>
        <v>0</v>
      </c>
      <c r="M302" s="19"/>
      <c r="N302" s="19"/>
      <c r="O302" s="19"/>
      <c r="P302" s="19"/>
      <c r="Q302" s="19"/>
      <c r="R302" s="19"/>
      <c r="S302" s="19"/>
      <c r="T302" s="19"/>
      <c r="U302" s="19">
        <f t="shared" si="108"/>
        <v>10111</v>
      </c>
      <c r="V302" s="55">
        <v>500</v>
      </c>
      <c r="W302" s="19"/>
      <c r="X302" s="55">
        <v>1350</v>
      </c>
      <c r="Y302" s="55">
        <v>250</v>
      </c>
      <c r="Z302" s="19"/>
      <c r="AA302" s="55">
        <v>170</v>
      </c>
      <c r="AB302" s="19"/>
      <c r="AC302" s="19"/>
      <c r="AD302" s="55">
        <v>7841</v>
      </c>
      <c r="AE302" s="19"/>
      <c r="AF302" s="19"/>
    </row>
    <row r="303" spans="1:32" x14ac:dyDescent="0.2">
      <c r="A303" s="4"/>
      <c r="B303" s="31"/>
      <c r="C303" s="42" t="s">
        <v>122</v>
      </c>
      <c r="D303" s="134" t="s">
        <v>123</v>
      </c>
      <c r="E303" s="32">
        <v>5500</v>
      </c>
      <c r="F303" s="20">
        <v>0</v>
      </c>
      <c r="G303" s="11">
        <f t="shared" si="99"/>
        <v>0</v>
      </c>
      <c r="H303" s="32">
        <v>0</v>
      </c>
      <c r="I303" s="20">
        <v>5000</v>
      </c>
      <c r="J303" s="11">
        <f t="shared" si="100"/>
        <v>0.90909090909090906</v>
      </c>
      <c r="K303" s="24">
        <f t="shared" si="106"/>
        <v>11500</v>
      </c>
      <c r="L303" s="19">
        <f t="shared" si="107"/>
        <v>0</v>
      </c>
      <c r="M303" s="19"/>
      <c r="N303" s="19"/>
      <c r="O303" s="19"/>
      <c r="P303" s="19"/>
      <c r="Q303" s="19"/>
      <c r="R303" s="19"/>
      <c r="S303" s="19"/>
      <c r="T303" s="19"/>
      <c r="U303" s="19">
        <f t="shared" si="108"/>
        <v>11500</v>
      </c>
      <c r="V303" s="19"/>
      <c r="W303" s="19"/>
      <c r="X303" s="101">
        <v>0</v>
      </c>
      <c r="Y303" s="101">
        <v>500</v>
      </c>
      <c r="Z303" s="19"/>
      <c r="AA303" s="101">
        <v>2000</v>
      </c>
      <c r="AB303" s="19"/>
      <c r="AC303" s="19"/>
      <c r="AD303" s="55">
        <v>9000</v>
      </c>
      <c r="AE303" s="19"/>
      <c r="AF303" s="19"/>
    </row>
    <row r="304" spans="1:32" x14ac:dyDescent="0.2">
      <c r="A304" s="4"/>
      <c r="B304" s="31"/>
      <c r="C304" s="42" t="s">
        <v>231</v>
      </c>
      <c r="D304" s="134" t="s">
        <v>232</v>
      </c>
      <c r="E304" s="32">
        <v>19626</v>
      </c>
      <c r="F304" s="20">
        <v>10240.200000000001</v>
      </c>
      <c r="G304" s="11">
        <f t="shared" si="99"/>
        <v>0.52176704371751759</v>
      </c>
      <c r="H304" s="32">
        <v>0</v>
      </c>
      <c r="I304" s="20">
        <v>26000</v>
      </c>
      <c r="J304" s="11">
        <f t="shared" si="100"/>
        <v>1.3247732599612758</v>
      </c>
      <c r="K304" s="24">
        <f t="shared" si="106"/>
        <v>35000</v>
      </c>
      <c r="L304" s="19">
        <f t="shared" si="107"/>
        <v>0</v>
      </c>
      <c r="M304" s="19"/>
      <c r="N304" s="19"/>
      <c r="O304" s="19"/>
      <c r="P304" s="19"/>
      <c r="Q304" s="19"/>
      <c r="R304" s="19"/>
      <c r="S304" s="19"/>
      <c r="T304" s="19"/>
      <c r="U304" s="19">
        <f t="shared" si="108"/>
        <v>35000</v>
      </c>
      <c r="V304" s="19"/>
      <c r="W304" s="19"/>
      <c r="X304" s="55">
        <v>5000</v>
      </c>
      <c r="Y304" s="19"/>
      <c r="Z304" s="19"/>
      <c r="AA304" s="55">
        <v>5000</v>
      </c>
      <c r="AB304" s="19"/>
      <c r="AC304" s="19"/>
      <c r="AD304" s="55">
        <v>25000</v>
      </c>
      <c r="AE304" s="19"/>
      <c r="AF304" s="19"/>
    </row>
    <row r="305" spans="1:32" hidden="1" x14ac:dyDescent="0.2">
      <c r="A305" s="4"/>
      <c r="B305" s="31"/>
      <c r="C305" s="42" t="s">
        <v>130</v>
      </c>
      <c r="D305" s="134" t="s">
        <v>131</v>
      </c>
      <c r="E305" s="32"/>
      <c r="F305" s="20"/>
      <c r="G305" s="11" t="e">
        <f t="shared" si="99"/>
        <v>#DIV/0!</v>
      </c>
      <c r="H305" s="32"/>
      <c r="I305" s="20"/>
      <c r="J305" s="11" t="e">
        <f t="shared" si="100"/>
        <v>#DIV/0!</v>
      </c>
      <c r="K305" s="24">
        <f t="shared" si="106"/>
        <v>0</v>
      </c>
      <c r="L305" s="19">
        <f t="shared" si="107"/>
        <v>0</v>
      </c>
      <c r="M305" s="19"/>
      <c r="N305" s="19"/>
      <c r="O305" s="19"/>
      <c r="P305" s="19"/>
      <c r="Q305" s="19"/>
      <c r="R305" s="19"/>
      <c r="S305" s="19"/>
      <c r="T305" s="19"/>
      <c r="U305" s="19">
        <f t="shared" si="108"/>
        <v>0</v>
      </c>
      <c r="V305" s="19"/>
      <c r="W305" s="19"/>
      <c r="X305" s="19">
        <v>0</v>
      </c>
      <c r="Y305" s="19"/>
      <c r="Z305" s="19"/>
      <c r="AA305" s="19"/>
      <c r="AB305" s="19"/>
      <c r="AC305" s="19"/>
      <c r="AD305" s="19"/>
      <c r="AE305" s="19"/>
      <c r="AF305" s="19"/>
    </row>
    <row r="306" spans="1:32" hidden="1" x14ac:dyDescent="0.2">
      <c r="A306" s="4"/>
      <c r="B306" s="31"/>
      <c r="C306" s="42" t="s">
        <v>124</v>
      </c>
      <c r="D306" s="134" t="s">
        <v>125</v>
      </c>
      <c r="E306" s="32"/>
      <c r="F306" s="20"/>
      <c r="G306" s="11" t="e">
        <f t="shared" si="99"/>
        <v>#DIV/0!</v>
      </c>
      <c r="H306" s="32"/>
      <c r="I306" s="20"/>
      <c r="J306" s="11" t="e">
        <f t="shared" si="100"/>
        <v>#DIV/0!</v>
      </c>
      <c r="K306" s="24">
        <f t="shared" si="106"/>
        <v>0</v>
      </c>
      <c r="L306" s="19">
        <f t="shared" si="107"/>
        <v>0</v>
      </c>
      <c r="M306" s="19"/>
      <c r="N306" s="19"/>
      <c r="O306" s="19"/>
      <c r="P306" s="19"/>
      <c r="Q306" s="19"/>
      <c r="R306" s="19"/>
      <c r="S306" s="19"/>
      <c r="T306" s="19"/>
      <c r="U306" s="19">
        <f t="shared" si="108"/>
        <v>0</v>
      </c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</row>
    <row r="307" spans="1:32" ht="22.5" x14ac:dyDescent="0.2">
      <c r="A307" s="4"/>
      <c r="B307" s="31"/>
      <c r="C307" s="42" t="s">
        <v>193</v>
      </c>
      <c r="D307" s="134" t="s">
        <v>194</v>
      </c>
      <c r="E307" s="32">
        <v>7008</v>
      </c>
      <c r="F307" s="20">
        <v>7008</v>
      </c>
      <c r="G307" s="11">
        <f>F307/E307</f>
        <v>1</v>
      </c>
      <c r="H307" s="32">
        <v>7008</v>
      </c>
      <c r="I307" s="20">
        <v>13139</v>
      </c>
      <c r="J307" s="11">
        <v>0</v>
      </c>
      <c r="K307" s="24">
        <f t="shared" si="106"/>
        <v>6935</v>
      </c>
      <c r="L307" s="19">
        <f t="shared" si="107"/>
        <v>0</v>
      </c>
      <c r="M307" s="19"/>
      <c r="N307" s="19"/>
      <c r="O307" s="19"/>
      <c r="P307" s="19"/>
      <c r="Q307" s="19"/>
      <c r="R307" s="19"/>
      <c r="S307" s="19"/>
      <c r="T307" s="19"/>
      <c r="U307" s="19">
        <f t="shared" si="108"/>
        <v>6935</v>
      </c>
      <c r="V307" s="55">
        <v>269</v>
      </c>
      <c r="W307" s="19"/>
      <c r="X307" s="55">
        <v>3169</v>
      </c>
      <c r="Y307" s="55">
        <v>210</v>
      </c>
      <c r="Z307" s="19"/>
      <c r="AA307" s="55">
        <v>120</v>
      </c>
      <c r="AB307" s="19"/>
      <c r="AC307" s="19"/>
      <c r="AD307" s="55">
        <v>3167</v>
      </c>
      <c r="AE307" s="19"/>
      <c r="AF307" s="19"/>
    </row>
    <row r="308" spans="1:32" ht="22.5" x14ac:dyDescent="0.2">
      <c r="A308" s="4"/>
      <c r="B308" s="31"/>
      <c r="C308" s="33" t="s">
        <v>380</v>
      </c>
      <c r="D308" s="34" t="s">
        <v>382</v>
      </c>
      <c r="E308" s="32">
        <v>0</v>
      </c>
      <c r="F308" s="20">
        <v>0</v>
      </c>
      <c r="G308" s="11">
        <v>0</v>
      </c>
      <c r="H308" s="32">
        <v>0</v>
      </c>
      <c r="I308" s="20">
        <v>4922</v>
      </c>
      <c r="J308" s="11">
        <v>0</v>
      </c>
      <c r="K308" s="24"/>
      <c r="L308" s="52"/>
      <c r="M308" s="52"/>
      <c r="N308" s="52"/>
      <c r="O308" s="52"/>
      <c r="P308" s="52"/>
      <c r="Q308" s="52"/>
      <c r="R308" s="52"/>
      <c r="S308" s="53"/>
      <c r="T308" s="52"/>
      <c r="U308" s="52"/>
      <c r="V308" s="179"/>
      <c r="W308" s="52"/>
      <c r="X308" s="179"/>
      <c r="Y308" s="179"/>
      <c r="Z308" s="52"/>
      <c r="AA308" s="179"/>
      <c r="AB308" s="52"/>
      <c r="AC308" s="52"/>
      <c r="AD308" s="179"/>
      <c r="AE308" s="52"/>
      <c r="AF308" s="52"/>
    </row>
    <row r="309" spans="1:32" ht="56.25" x14ac:dyDescent="0.2">
      <c r="A309" s="3"/>
      <c r="B309" s="165" t="s">
        <v>249</v>
      </c>
      <c r="C309" s="166"/>
      <c r="D309" s="167" t="s">
        <v>250</v>
      </c>
      <c r="E309" s="168">
        <f>E310+E311+E312+E313+E314+E315+E316+E317+E318+E319+E320+E321+E322</f>
        <v>998057</v>
      </c>
      <c r="F309" s="168">
        <f>F310+F311+F312+F313+F314+F315+F316+F317+F318+F319+F320+F321+F322</f>
        <v>809582.97</v>
      </c>
      <c r="G309" s="170">
        <f t="shared" si="99"/>
        <v>0.81115905203811001</v>
      </c>
      <c r="H309" s="168">
        <f>H310+H311+H312+H313+H314+H315+H316+H317+H318+H319+H320+H321+H322</f>
        <v>955582.49</v>
      </c>
      <c r="I309" s="168">
        <f>I310+I311+I312+I313+I314+I315+I316+I317+I318+I319+I320+I321+I322</f>
        <v>940209</v>
      </c>
      <c r="J309" s="170">
        <f t="shared" si="100"/>
        <v>0.94203938252023678</v>
      </c>
      <c r="K309" s="112">
        <f t="shared" ref="K309:AF309" si="109">K310+K311+K312+K313+K314+K315+K316+K317+K318+K319+K320+K321</f>
        <v>1079991</v>
      </c>
      <c r="L309" s="72">
        <f t="shared" si="109"/>
        <v>0</v>
      </c>
      <c r="M309" s="72">
        <f t="shared" si="109"/>
        <v>0</v>
      </c>
      <c r="N309" s="72">
        <f t="shared" si="109"/>
        <v>0</v>
      </c>
      <c r="O309" s="72"/>
      <c r="P309" s="72">
        <f t="shared" si="109"/>
        <v>0</v>
      </c>
      <c r="Q309" s="72">
        <f t="shared" si="109"/>
        <v>0</v>
      </c>
      <c r="R309" s="72">
        <f t="shared" si="109"/>
        <v>0</v>
      </c>
      <c r="S309" s="73">
        <f>S310+S311+S312+S313+S314+S315+S316+S317+S318+S319+S320+S321</f>
        <v>0</v>
      </c>
      <c r="T309" s="72">
        <f t="shared" si="109"/>
        <v>0</v>
      </c>
      <c r="U309" s="72">
        <f t="shared" si="109"/>
        <v>1079991</v>
      </c>
      <c r="V309" s="72">
        <f t="shared" si="109"/>
        <v>314120</v>
      </c>
      <c r="W309" s="72">
        <f t="shared" si="109"/>
        <v>341573</v>
      </c>
      <c r="X309" s="72">
        <f t="shared" si="109"/>
        <v>89299</v>
      </c>
      <c r="Y309" s="72">
        <f t="shared" si="109"/>
        <v>26502</v>
      </c>
      <c r="Z309" s="72">
        <f t="shared" si="109"/>
        <v>31155</v>
      </c>
      <c r="AA309" s="72">
        <f t="shared" si="109"/>
        <v>277342</v>
      </c>
      <c r="AB309" s="72">
        <f t="shared" si="109"/>
        <v>0</v>
      </c>
      <c r="AC309" s="72">
        <f t="shared" si="109"/>
        <v>0</v>
      </c>
      <c r="AD309" s="72">
        <f t="shared" si="109"/>
        <v>0</v>
      </c>
      <c r="AE309" s="72">
        <f t="shared" si="109"/>
        <v>0</v>
      </c>
      <c r="AF309" s="72">
        <f t="shared" si="109"/>
        <v>0</v>
      </c>
    </row>
    <row r="310" spans="1:32" ht="22.5" x14ac:dyDescent="0.2">
      <c r="A310" s="4"/>
      <c r="B310" s="31"/>
      <c r="C310" s="42" t="s">
        <v>171</v>
      </c>
      <c r="D310" s="134" t="s">
        <v>172</v>
      </c>
      <c r="E310" s="32">
        <v>2153</v>
      </c>
      <c r="F310" s="20">
        <v>0</v>
      </c>
      <c r="G310" s="11">
        <v>0</v>
      </c>
      <c r="H310" s="32">
        <v>0</v>
      </c>
      <c r="I310" s="20">
        <v>5984</v>
      </c>
      <c r="J310" s="11">
        <v>0</v>
      </c>
      <c r="K310" s="24">
        <f>L310+T310+U310+AF310</f>
        <v>2153</v>
      </c>
      <c r="L310" s="19">
        <f>SUM(M310:S310)</f>
        <v>0</v>
      </c>
      <c r="M310" s="19"/>
      <c r="N310" s="19"/>
      <c r="O310" s="19"/>
      <c r="P310" s="19"/>
      <c r="Q310" s="19"/>
      <c r="R310" s="19"/>
      <c r="S310" s="19"/>
      <c r="T310" s="19"/>
      <c r="U310" s="19">
        <f>SUM(V310:AE310)</f>
        <v>2153</v>
      </c>
      <c r="V310" s="55">
        <v>682</v>
      </c>
      <c r="W310" s="55">
        <v>760</v>
      </c>
      <c r="X310" s="55">
        <v>189</v>
      </c>
      <c r="Y310" s="55">
        <v>44</v>
      </c>
      <c r="Z310" s="55">
        <v>40</v>
      </c>
      <c r="AA310" s="55">
        <v>438</v>
      </c>
      <c r="AB310" s="19"/>
      <c r="AC310" s="19"/>
      <c r="AD310" s="19"/>
      <c r="AE310" s="19"/>
      <c r="AF310" s="19"/>
    </row>
    <row r="311" spans="1:32" x14ac:dyDescent="0.2">
      <c r="A311" s="4"/>
      <c r="B311" s="31"/>
      <c r="C311" s="42" t="s">
        <v>116</v>
      </c>
      <c r="D311" s="134" t="s">
        <v>117</v>
      </c>
      <c r="E311" s="32">
        <v>720590</v>
      </c>
      <c r="F311" s="20">
        <v>604341.98</v>
      </c>
      <c r="G311" s="11">
        <f t="shared" si="99"/>
        <v>0.83867661222054146</v>
      </c>
      <c r="H311" s="32">
        <v>713198.49</v>
      </c>
      <c r="I311" s="20">
        <v>654473</v>
      </c>
      <c r="J311" s="11">
        <f t="shared" si="100"/>
        <v>0.90824602062199034</v>
      </c>
      <c r="K311" s="24">
        <f t="shared" ref="K311:K321" si="110">L311+T311+U311+AF311</f>
        <v>785280</v>
      </c>
      <c r="L311" s="19">
        <f t="shared" ref="L311:L321" si="111">SUM(M311:S311)</f>
        <v>0</v>
      </c>
      <c r="M311" s="19"/>
      <c r="N311" s="19"/>
      <c r="O311" s="19"/>
      <c r="P311" s="19"/>
      <c r="Q311" s="19"/>
      <c r="R311" s="19"/>
      <c r="S311" s="19"/>
      <c r="T311" s="19"/>
      <c r="U311" s="19">
        <f t="shared" ref="U311:U321" si="112">SUM(V311:AE311)</f>
        <v>785280</v>
      </c>
      <c r="V311" s="55">
        <v>231640</v>
      </c>
      <c r="W311" s="55">
        <v>262710</v>
      </c>
      <c r="X311" s="55">
        <v>63730</v>
      </c>
      <c r="Y311" s="55">
        <v>15900</v>
      </c>
      <c r="Z311" s="55">
        <v>13300</v>
      </c>
      <c r="AA311" s="55">
        <v>198000</v>
      </c>
      <c r="AB311" s="19"/>
      <c r="AC311" s="19"/>
      <c r="AD311" s="19"/>
      <c r="AE311" s="19"/>
      <c r="AF311" s="19"/>
    </row>
    <row r="312" spans="1:32" x14ac:dyDescent="0.2">
      <c r="A312" s="4"/>
      <c r="B312" s="31"/>
      <c r="C312" s="42" t="s">
        <v>173</v>
      </c>
      <c r="D312" s="134" t="s">
        <v>174</v>
      </c>
      <c r="E312" s="32">
        <v>46160</v>
      </c>
      <c r="F312" s="20">
        <v>46160</v>
      </c>
      <c r="G312" s="11">
        <f>F312/E312</f>
        <v>1</v>
      </c>
      <c r="H312" s="32">
        <v>46160</v>
      </c>
      <c r="I312" s="20">
        <v>53142</v>
      </c>
      <c r="J312" s="11">
        <v>0</v>
      </c>
      <c r="K312" s="24">
        <f t="shared" si="110"/>
        <v>47180</v>
      </c>
      <c r="L312" s="19">
        <f t="shared" si="111"/>
        <v>0</v>
      </c>
      <c r="M312" s="19"/>
      <c r="N312" s="19"/>
      <c r="O312" s="19"/>
      <c r="P312" s="19"/>
      <c r="Q312" s="19"/>
      <c r="R312" s="19"/>
      <c r="S312" s="19"/>
      <c r="T312" s="19"/>
      <c r="U312" s="19">
        <f t="shared" si="112"/>
        <v>47180</v>
      </c>
      <c r="V312" s="55">
        <v>15040</v>
      </c>
      <c r="W312" s="55">
        <v>12350</v>
      </c>
      <c r="X312" s="55">
        <v>3800</v>
      </c>
      <c r="Y312" s="55">
        <v>900</v>
      </c>
      <c r="Z312" s="55">
        <v>1340</v>
      </c>
      <c r="AA312" s="55">
        <v>13750</v>
      </c>
      <c r="AB312" s="19"/>
      <c r="AC312" s="19"/>
      <c r="AD312" s="19"/>
      <c r="AE312" s="19"/>
      <c r="AF312" s="19"/>
    </row>
    <row r="313" spans="1:32" x14ac:dyDescent="0.2">
      <c r="A313" s="4"/>
      <c r="B313" s="31"/>
      <c r="C313" s="42" t="s">
        <v>118</v>
      </c>
      <c r="D313" s="134" t="s">
        <v>119</v>
      </c>
      <c r="E313" s="32">
        <v>138240</v>
      </c>
      <c r="F313" s="20">
        <v>101911.67</v>
      </c>
      <c r="G313" s="11">
        <f t="shared" si="99"/>
        <v>0.7372082609953704</v>
      </c>
      <c r="H313" s="32">
        <v>138240</v>
      </c>
      <c r="I313" s="20">
        <v>121303</v>
      </c>
      <c r="J313" s="11">
        <f t="shared" si="100"/>
        <v>0.87748119212962961</v>
      </c>
      <c r="K313" s="24">
        <f t="shared" si="110"/>
        <v>141167</v>
      </c>
      <c r="L313" s="19">
        <f t="shared" si="111"/>
        <v>0</v>
      </c>
      <c r="M313" s="19"/>
      <c r="N313" s="19"/>
      <c r="O313" s="19"/>
      <c r="P313" s="19"/>
      <c r="Q313" s="19"/>
      <c r="R313" s="19"/>
      <c r="S313" s="19"/>
      <c r="T313" s="19"/>
      <c r="U313" s="19">
        <f t="shared" si="112"/>
        <v>141167</v>
      </c>
      <c r="V313" s="55">
        <v>42040</v>
      </c>
      <c r="W313" s="55">
        <v>46120</v>
      </c>
      <c r="X313" s="55">
        <v>11610</v>
      </c>
      <c r="Y313" s="55">
        <v>2700</v>
      </c>
      <c r="Z313" s="55">
        <v>2517</v>
      </c>
      <c r="AA313" s="55">
        <v>36180</v>
      </c>
      <c r="AB313" s="19"/>
      <c r="AC313" s="19"/>
      <c r="AD313" s="19"/>
      <c r="AE313" s="19"/>
      <c r="AF313" s="19"/>
    </row>
    <row r="314" spans="1:32" x14ac:dyDescent="0.2">
      <c r="A314" s="4"/>
      <c r="B314" s="31"/>
      <c r="C314" s="42" t="s">
        <v>120</v>
      </c>
      <c r="D314" s="134" t="s">
        <v>121</v>
      </c>
      <c r="E314" s="32">
        <v>17952</v>
      </c>
      <c r="F314" s="20">
        <v>10918.94</v>
      </c>
      <c r="G314" s="11">
        <f t="shared" si="99"/>
        <v>0.60822972370766493</v>
      </c>
      <c r="H314" s="32">
        <v>17952</v>
      </c>
      <c r="I314" s="20">
        <v>17247</v>
      </c>
      <c r="J314" s="11">
        <f t="shared" si="100"/>
        <v>0.96072860962566842</v>
      </c>
      <c r="K314" s="24">
        <f t="shared" si="110"/>
        <v>20142</v>
      </c>
      <c r="L314" s="19">
        <f t="shared" si="111"/>
        <v>0</v>
      </c>
      <c r="M314" s="19"/>
      <c r="N314" s="19"/>
      <c r="O314" s="19"/>
      <c r="P314" s="19"/>
      <c r="Q314" s="19"/>
      <c r="R314" s="19"/>
      <c r="S314" s="19"/>
      <c r="T314" s="19"/>
      <c r="U314" s="19">
        <f t="shared" si="112"/>
        <v>20142</v>
      </c>
      <c r="V314" s="55">
        <v>6000</v>
      </c>
      <c r="W314" s="55">
        <v>6572</v>
      </c>
      <c r="X314" s="55">
        <v>1660</v>
      </c>
      <c r="Y314" s="55">
        <v>390</v>
      </c>
      <c r="Z314" s="55">
        <v>360</v>
      </c>
      <c r="AA314" s="55">
        <v>5160</v>
      </c>
      <c r="AB314" s="19"/>
      <c r="AC314" s="19"/>
      <c r="AD314" s="19"/>
      <c r="AE314" s="19"/>
      <c r="AF314" s="19"/>
    </row>
    <row r="315" spans="1:32" x14ac:dyDescent="0.2">
      <c r="A315" s="4"/>
      <c r="B315" s="31"/>
      <c r="C315" s="42" t="s">
        <v>122</v>
      </c>
      <c r="D315" s="134" t="s">
        <v>123</v>
      </c>
      <c r="E315" s="32">
        <v>13930</v>
      </c>
      <c r="F315" s="20">
        <v>1290.8900000000001</v>
      </c>
      <c r="G315" s="11">
        <f t="shared" si="99"/>
        <v>9.2669777458722194E-2</v>
      </c>
      <c r="H315" s="32">
        <v>0</v>
      </c>
      <c r="I315" s="20">
        <v>10500</v>
      </c>
      <c r="J315" s="11">
        <f t="shared" si="100"/>
        <v>0.75376884422110557</v>
      </c>
      <c r="K315" s="24">
        <f t="shared" si="110"/>
        <v>16930</v>
      </c>
      <c r="L315" s="19">
        <f t="shared" si="111"/>
        <v>0</v>
      </c>
      <c r="M315" s="19"/>
      <c r="N315" s="19"/>
      <c r="O315" s="19"/>
      <c r="P315" s="19"/>
      <c r="Q315" s="19"/>
      <c r="R315" s="19"/>
      <c r="S315" s="19"/>
      <c r="T315" s="19"/>
      <c r="U315" s="19">
        <f t="shared" si="112"/>
        <v>16930</v>
      </c>
      <c r="V315" s="55">
        <v>3000</v>
      </c>
      <c r="W315" s="101">
        <v>930</v>
      </c>
      <c r="X315" s="101">
        <v>0</v>
      </c>
      <c r="Y315" s="55">
        <v>4000</v>
      </c>
      <c r="Z315" s="101">
        <v>2000</v>
      </c>
      <c r="AA315" s="55">
        <v>7000</v>
      </c>
      <c r="AB315" s="19"/>
      <c r="AC315" s="19"/>
      <c r="AD315" s="19"/>
      <c r="AE315" s="19"/>
      <c r="AF315" s="19"/>
    </row>
    <row r="316" spans="1:32" x14ac:dyDescent="0.2">
      <c r="A316" s="4"/>
      <c r="B316" s="31"/>
      <c r="C316" s="42" t="s">
        <v>231</v>
      </c>
      <c r="D316" s="134" t="s">
        <v>232</v>
      </c>
      <c r="E316" s="32">
        <v>19000</v>
      </c>
      <c r="F316" s="20">
        <v>4927.49</v>
      </c>
      <c r="G316" s="11">
        <f t="shared" si="99"/>
        <v>0.25934157894736842</v>
      </c>
      <c r="H316" s="32">
        <v>0</v>
      </c>
      <c r="I316" s="20">
        <v>24000</v>
      </c>
      <c r="J316" s="11">
        <f t="shared" si="100"/>
        <v>1.263157894736842</v>
      </c>
      <c r="K316" s="24">
        <f t="shared" si="110"/>
        <v>29500</v>
      </c>
      <c r="L316" s="19">
        <f t="shared" si="111"/>
        <v>0</v>
      </c>
      <c r="M316" s="19"/>
      <c r="N316" s="19"/>
      <c r="O316" s="19"/>
      <c r="P316" s="19"/>
      <c r="Q316" s="19"/>
      <c r="R316" s="19"/>
      <c r="S316" s="19"/>
      <c r="T316" s="19"/>
      <c r="U316" s="19">
        <f t="shared" si="112"/>
        <v>29500</v>
      </c>
      <c r="V316" s="55">
        <v>3000</v>
      </c>
      <c r="W316" s="55">
        <v>4000</v>
      </c>
      <c r="X316" s="55">
        <v>5500</v>
      </c>
      <c r="Y316" s="55">
        <v>2000</v>
      </c>
      <c r="Z316" s="55">
        <v>11000</v>
      </c>
      <c r="AA316" s="55">
        <v>4000</v>
      </c>
      <c r="AB316" s="19"/>
      <c r="AC316" s="19"/>
      <c r="AD316" s="19"/>
      <c r="AE316" s="19"/>
      <c r="AF316" s="19"/>
    </row>
    <row r="317" spans="1:32" hidden="1" x14ac:dyDescent="0.2">
      <c r="A317" s="4"/>
      <c r="B317" s="31"/>
      <c r="C317" s="42" t="s">
        <v>130</v>
      </c>
      <c r="D317" s="134" t="s">
        <v>131</v>
      </c>
      <c r="E317" s="32"/>
      <c r="F317" s="20"/>
      <c r="G317" s="11" t="e">
        <f t="shared" si="99"/>
        <v>#DIV/0!</v>
      </c>
      <c r="H317" s="32"/>
      <c r="I317" s="20"/>
      <c r="J317" s="11" t="e">
        <f t="shared" si="100"/>
        <v>#DIV/0!</v>
      </c>
      <c r="K317" s="24">
        <f t="shared" si="110"/>
        <v>0</v>
      </c>
      <c r="L317" s="19">
        <f t="shared" si="111"/>
        <v>0</v>
      </c>
      <c r="M317" s="19"/>
      <c r="N317" s="19"/>
      <c r="O317" s="19"/>
      <c r="P317" s="19"/>
      <c r="Q317" s="19"/>
      <c r="R317" s="19"/>
      <c r="S317" s="19"/>
      <c r="T317" s="19"/>
      <c r="U317" s="19">
        <f t="shared" si="112"/>
        <v>0</v>
      </c>
      <c r="V317" s="19">
        <v>0</v>
      </c>
      <c r="W317" s="19">
        <v>0</v>
      </c>
      <c r="X317" s="19"/>
      <c r="Y317" s="19"/>
      <c r="Z317" s="19"/>
      <c r="AA317" s="19"/>
      <c r="AB317" s="19"/>
      <c r="AC317" s="19"/>
      <c r="AD317" s="19"/>
      <c r="AE317" s="19"/>
      <c r="AF317" s="19"/>
    </row>
    <row r="318" spans="1:32" x14ac:dyDescent="0.2">
      <c r="A318" s="4"/>
      <c r="B318" s="31"/>
      <c r="C318" s="42" t="s">
        <v>140</v>
      </c>
      <c r="D318" s="134" t="s">
        <v>141</v>
      </c>
      <c r="E318" s="32">
        <v>2000</v>
      </c>
      <c r="F318" s="20">
        <v>2000</v>
      </c>
      <c r="G318" s="11">
        <f t="shared" si="99"/>
        <v>1</v>
      </c>
      <c r="H318" s="32">
        <v>2000</v>
      </c>
      <c r="I318" s="20">
        <v>2000</v>
      </c>
      <c r="J318" s="11">
        <f t="shared" si="100"/>
        <v>1</v>
      </c>
      <c r="K318" s="24">
        <f t="shared" si="110"/>
        <v>4000</v>
      </c>
      <c r="L318" s="19">
        <f t="shared" si="111"/>
        <v>0</v>
      </c>
      <c r="M318" s="19"/>
      <c r="N318" s="19"/>
      <c r="O318" s="19"/>
      <c r="P318" s="19"/>
      <c r="Q318" s="19"/>
      <c r="R318" s="19"/>
      <c r="S318" s="19"/>
      <c r="T318" s="19"/>
      <c r="U318" s="19">
        <f t="shared" si="112"/>
        <v>4000</v>
      </c>
      <c r="V318" s="101">
        <v>1000</v>
      </c>
      <c r="W318" s="19">
        <v>0</v>
      </c>
      <c r="X318" s="101">
        <v>0</v>
      </c>
      <c r="Y318" s="19"/>
      <c r="Z318" s="19"/>
      <c r="AA318" s="55">
        <v>3000</v>
      </c>
      <c r="AB318" s="19"/>
      <c r="AC318" s="19"/>
      <c r="AD318" s="19"/>
      <c r="AE318" s="19"/>
      <c r="AF318" s="19"/>
    </row>
    <row r="319" spans="1:32" hidden="1" x14ac:dyDescent="0.2">
      <c r="A319" s="4"/>
      <c r="B319" s="31"/>
      <c r="C319" s="42" t="s">
        <v>124</v>
      </c>
      <c r="D319" s="134" t="s">
        <v>125</v>
      </c>
      <c r="E319" s="32" t="s">
        <v>6</v>
      </c>
      <c r="F319" s="20">
        <v>0</v>
      </c>
      <c r="G319" s="11" t="e">
        <f t="shared" si="99"/>
        <v>#DIV/0!</v>
      </c>
      <c r="H319" s="32" t="s">
        <v>6</v>
      </c>
      <c r="I319" s="20">
        <f t="shared" ref="I319:I320" si="113">K319</f>
        <v>0</v>
      </c>
      <c r="J319" s="11" t="e">
        <f t="shared" si="100"/>
        <v>#DIV/0!</v>
      </c>
      <c r="K319" s="24">
        <f t="shared" si="110"/>
        <v>0</v>
      </c>
      <c r="L319" s="19">
        <f t="shared" si="111"/>
        <v>0</v>
      </c>
      <c r="M319" s="19"/>
      <c r="N319" s="19"/>
      <c r="O319" s="19"/>
      <c r="P319" s="19"/>
      <c r="Q319" s="19"/>
      <c r="R319" s="19"/>
      <c r="S319" s="19"/>
      <c r="T319" s="19"/>
      <c r="U319" s="19">
        <f t="shared" si="112"/>
        <v>0</v>
      </c>
      <c r="V319" s="19">
        <v>0</v>
      </c>
      <c r="W319" s="19">
        <v>0</v>
      </c>
      <c r="X319" s="19"/>
      <c r="Y319" s="19"/>
      <c r="Z319" s="19"/>
      <c r="AA319" s="19"/>
      <c r="AB319" s="19"/>
      <c r="AC319" s="19"/>
      <c r="AD319" s="19"/>
      <c r="AE319" s="19"/>
      <c r="AF319" s="19"/>
    </row>
    <row r="320" spans="1:32" ht="22.5" hidden="1" x14ac:dyDescent="0.2">
      <c r="A320" s="4"/>
      <c r="B320" s="31"/>
      <c r="C320" s="42" t="s">
        <v>147</v>
      </c>
      <c r="D320" s="134" t="s">
        <v>148</v>
      </c>
      <c r="E320" s="32" t="s">
        <v>6</v>
      </c>
      <c r="F320" s="20">
        <v>0</v>
      </c>
      <c r="G320" s="11" t="e">
        <f t="shared" si="99"/>
        <v>#DIV/0!</v>
      </c>
      <c r="H320" s="32" t="s">
        <v>6</v>
      </c>
      <c r="I320" s="20">
        <f t="shared" si="113"/>
        <v>0</v>
      </c>
      <c r="J320" s="11" t="e">
        <f t="shared" si="100"/>
        <v>#DIV/0!</v>
      </c>
      <c r="K320" s="24">
        <f t="shared" si="110"/>
        <v>0</v>
      </c>
      <c r="L320" s="19">
        <f t="shared" si="111"/>
        <v>0</v>
      </c>
      <c r="M320" s="19"/>
      <c r="N320" s="19"/>
      <c r="O320" s="19"/>
      <c r="P320" s="19"/>
      <c r="Q320" s="19"/>
      <c r="R320" s="19"/>
      <c r="S320" s="19"/>
      <c r="T320" s="19"/>
      <c r="U320" s="19">
        <f t="shared" si="112"/>
        <v>0</v>
      </c>
      <c r="V320" s="19">
        <v>0</v>
      </c>
      <c r="W320" s="19">
        <v>0</v>
      </c>
      <c r="X320" s="19"/>
      <c r="Y320" s="19"/>
      <c r="Z320" s="19"/>
      <c r="AA320" s="19"/>
      <c r="AB320" s="19"/>
      <c r="AC320" s="19"/>
      <c r="AD320" s="19"/>
      <c r="AE320" s="19"/>
      <c r="AF320" s="19"/>
    </row>
    <row r="321" spans="1:32" ht="22.5" x14ac:dyDescent="0.2">
      <c r="A321" s="4"/>
      <c r="B321" s="31"/>
      <c r="C321" s="42" t="s">
        <v>193</v>
      </c>
      <c r="D321" s="134" t="s">
        <v>194</v>
      </c>
      <c r="E321" s="32">
        <v>38032</v>
      </c>
      <c r="F321" s="20">
        <v>38032</v>
      </c>
      <c r="G321" s="11">
        <f>F321/E321</f>
        <v>1</v>
      </c>
      <c r="H321" s="32">
        <v>38032</v>
      </c>
      <c r="I321" s="20">
        <v>43643</v>
      </c>
      <c r="J321" s="11">
        <v>0</v>
      </c>
      <c r="K321" s="24">
        <f t="shared" si="110"/>
        <v>33639</v>
      </c>
      <c r="L321" s="19">
        <f t="shared" si="111"/>
        <v>0</v>
      </c>
      <c r="M321" s="19"/>
      <c r="N321" s="19"/>
      <c r="O321" s="19"/>
      <c r="P321" s="19"/>
      <c r="Q321" s="19"/>
      <c r="R321" s="19"/>
      <c r="S321" s="19"/>
      <c r="T321" s="19"/>
      <c r="U321" s="19">
        <f t="shared" si="112"/>
        <v>33639</v>
      </c>
      <c r="V321" s="55">
        <v>11718</v>
      </c>
      <c r="W321" s="55">
        <v>8131</v>
      </c>
      <c r="X321" s="55">
        <v>2810</v>
      </c>
      <c r="Y321" s="55">
        <v>568</v>
      </c>
      <c r="Z321" s="55">
        <v>598</v>
      </c>
      <c r="AA321" s="55">
        <v>9814</v>
      </c>
      <c r="AB321" s="19"/>
      <c r="AC321" s="19"/>
      <c r="AD321" s="19"/>
      <c r="AE321" s="19"/>
      <c r="AF321" s="19"/>
    </row>
    <row r="322" spans="1:32" ht="22.5" x14ac:dyDescent="0.2">
      <c r="A322" s="4"/>
      <c r="B322" s="31"/>
      <c r="C322" s="33" t="s">
        <v>380</v>
      </c>
      <c r="D322" s="34" t="s">
        <v>382</v>
      </c>
      <c r="E322" s="32">
        <v>0</v>
      </c>
      <c r="F322" s="20">
        <v>0</v>
      </c>
      <c r="G322" s="11">
        <v>0</v>
      </c>
      <c r="H322" s="32">
        <v>0</v>
      </c>
      <c r="I322" s="20">
        <v>7917</v>
      </c>
      <c r="J322" s="11">
        <v>0</v>
      </c>
      <c r="K322" s="24"/>
      <c r="L322" s="52"/>
      <c r="M322" s="52"/>
      <c r="N322" s="52"/>
      <c r="O322" s="52"/>
      <c r="P322" s="52"/>
      <c r="Q322" s="52"/>
      <c r="R322" s="52"/>
      <c r="S322" s="53"/>
      <c r="T322" s="52"/>
      <c r="U322" s="52"/>
      <c r="V322" s="179"/>
      <c r="W322" s="179"/>
      <c r="X322" s="179"/>
      <c r="Y322" s="179"/>
      <c r="Z322" s="179"/>
      <c r="AA322" s="179"/>
      <c r="AB322" s="52"/>
      <c r="AC322" s="52"/>
      <c r="AD322" s="52"/>
      <c r="AE322" s="52"/>
      <c r="AF322" s="52"/>
    </row>
    <row r="323" spans="1:32" ht="56.25" x14ac:dyDescent="0.2">
      <c r="A323" s="3"/>
      <c r="B323" s="165" t="s">
        <v>55</v>
      </c>
      <c r="C323" s="166"/>
      <c r="D323" s="167" t="s">
        <v>56</v>
      </c>
      <c r="E323" s="168">
        <f>E324+E325+E326</f>
        <v>194204.05</v>
      </c>
      <c r="F323" s="168">
        <f t="shared" ref="F323:AF323" si="114">F324+F325+F326</f>
        <v>115658.61</v>
      </c>
      <c r="G323" s="170">
        <f t="shared" ref="G323:G389" si="115">F323/E323</f>
        <v>0.59555199801445957</v>
      </c>
      <c r="H323" s="168">
        <f t="shared" si="114"/>
        <v>0</v>
      </c>
      <c r="I323" s="168">
        <f t="shared" si="114"/>
        <v>0</v>
      </c>
      <c r="J323" s="170">
        <f t="shared" ref="J323:J389" si="116">I323/E323</f>
        <v>0</v>
      </c>
      <c r="K323" s="112">
        <f t="shared" si="114"/>
        <v>0</v>
      </c>
      <c r="L323" s="72">
        <f t="shared" si="114"/>
        <v>0</v>
      </c>
      <c r="M323" s="72">
        <f t="shared" si="114"/>
        <v>0</v>
      </c>
      <c r="N323" s="72">
        <f t="shared" si="114"/>
        <v>0</v>
      </c>
      <c r="O323" s="72"/>
      <c r="P323" s="72">
        <f t="shared" si="114"/>
        <v>0</v>
      </c>
      <c r="Q323" s="72">
        <f t="shared" si="114"/>
        <v>0</v>
      </c>
      <c r="R323" s="72">
        <f t="shared" si="114"/>
        <v>0</v>
      </c>
      <c r="S323" s="73">
        <f>S324+S325+S326</f>
        <v>0</v>
      </c>
      <c r="T323" s="72">
        <f t="shared" si="114"/>
        <v>0</v>
      </c>
      <c r="U323" s="72">
        <f t="shared" si="114"/>
        <v>0</v>
      </c>
      <c r="V323" s="72">
        <f t="shared" si="114"/>
        <v>0</v>
      </c>
      <c r="W323" s="72">
        <f t="shared" si="114"/>
        <v>0</v>
      </c>
      <c r="X323" s="72">
        <f t="shared" si="114"/>
        <v>0</v>
      </c>
      <c r="Y323" s="72">
        <f t="shared" si="114"/>
        <v>0</v>
      </c>
      <c r="Z323" s="72">
        <f t="shared" si="114"/>
        <v>0</v>
      </c>
      <c r="AA323" s="72">
        <f t="shared" si="114"/>
        <v>0</v>
      </c>
      <c r="AB323" s="72">
        <f t="shared" si="114"/>
        <v>0</v>
      </c>
      <c r="AC323" s="72">
        <f t="shared" si="114"/>
        <v>0</v>
      </c>
      <c r="AD323" s="72">
        <f t="shared" si="114"/>
        <v>0</v>
      </c>
      <c r="AE323" s="72">
        <f t="shared" si="114"/>
        <v>0</v>
      </c>
      <c r="AF323" s="72">
        <f t="shared" si="114"/>
        <v>0</v>
      </c>
    </row>
    <row r="324" spans="1:32" ht="45" hidden="1" x14ac:dyDescent="0.2">
      <c r="A324" s="4"/>
      <c r="B324" s="31"/>
      <c r="C324" s="42" t="s">
        <v>135</v>
      </c>
      <c r="D324" s="134" t="s">
        <v>136</v>
      </c>
      <c r="E324" s="32">
        <v>0</v>
      </c>
      <c r="F324" s="20">
        <v>0</v>
      </c>
      <c r="G324" s="11">
        <v>0</v>
      </c>
      <c r="H324" s="32">
        <v>0</v>
      </c>
      <c r="I324" s="20">
        <f>K324</f>
        <v>0</v>
      </c>
      <c r="J324" s="11">
        <v>0</v>
      </c>
      <c r="K324" s="24">
        <f>L324+T324+U324</f>
        <v>0</v>
      </c>
      <c r="L324" s="19">
        <f>SUM(M324:S324)</f>
        <v>0</v>
      </c>
      <c r="M324" s="19"/>
      <c r="N324" s="19"/>
      <c r="O324" s="19"/>
      <c r="P324" s="19"/>
      <c r="Q324" s="19"/>
      <c r="R324" s="19"/>
      <c r="S324" s="19"/>
      <c r="T324" s="19"/>
      <c r="U324" s="19">
        <f>SUM(V324:AE324)</f>
        <v>0</v>
      </c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</row>
    <row r="325" spans="1:32" x14ac:dyDescent="0.2">
      <c r="A325" s="4"/>
      <c r="B325" s="31"/>
      <c r="C325" s="42" t="s">
        <v>122</v>
      </c>
      <c r="D325" s="134" t="s">
        <v>123</v>
      </c>
      <c r="E325" s="32">
        <v>1922.78</v>
      </c>
      <c r="F325" s="20">
        <v>0</v>
      </c>
      <c r="G325" s="11">
        <f t="shared" si="115"/>
        <v>0</v>
      </c>
      <c r="H325" s="32">
        <v>0</v>
      </c>
      <c r="I325" s="20">
        <v>0</v>
      </c>
      <c r="J325" s="11">
        <f t="shared" si="116"/>
        <v>0</v>
      </c>
      <c r="K325" s="24">
        <f t="shared" ref="K325:K326" si="117">L325+T325+U325</f>
        <v>0</v>
      </c>
      <c r="L325" s="19">
        <f t="shared" ref="L325:L351" si="118">SUM(M325:S325)</f>
        <v>0</v>
      </c>
      <c r="M325" s="19"/>
      <c r="N325" s="19"/>
      <c r="O325" s="19"/>
      <c r="P325" s="19"/>
      <c r="Q325" s="19"/>
      <c r="R325" s="19"/>
      <c r="S325" s="19"/>
      <c r="T325" s="19"/>
      <c r="U325" s="19">
        <f>SUM(V325:AE325)</f>
        <v>0</v>
      </c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</row>
    <row r="326" spans="1:32" x14ac:dyDescent="0.2">
      <c r="A326" s="4"/>
      <c r="B326" s="31"/>
      <c r="C326" s="42" t="s">
        <v>231</v>
      </c>
      <c r="D326" s="134" t="s">
        <v>232</v>
      </c>
      <c r="E326" s="32">
        <v>192281.27</v>
      </c>
      <c r="F326" s="20">
        <v>115658.61</v>
      </c>
      <c r="G326" s="11">
        <f t="shared" si="115"/>
        <v>0.60150741671302677</v>
      </c>
      <c r="H326" s="32">
        <v>0</v>
      </c>
      <c r="I326" s="20">
        <v>0</v>
      </c>
      <c r="J326" s="11">
        <f t="shared" si="116"/>
        <v>0</v>
      </c>
      <c r="K326" s="24">
        <f t="shared" si="117"/>
        <v>0</v>
      </c>
      <c r="L326" s="19">
        <f t="shared" si="118"/>
        <v>0</v>
      </c>
      <c r="M326" s="19"/>
      <c r="N326" s="19"/>
      <c r="O326" s="19"/>
      <c r="P326" s="19"/>
      <c r="Q326" s="19"/>
      <c r="R326" s="19"/>
      <c r="S326" s="19"/>
      <c r="T326" s="19"/>
      <c r="U326" s="19">
        <f>SUM(V326:AE326)</f>
        <v>0</v>
      </c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</row>
    <row r="327" spans="1:32" ht="15.75" x14ac:dyDescent="0.2">
      <c r="A327" s="3"/>
      <c r="B327" s="165" t="s">
        <v>57</v>
      </c>
      <c r="C327" s="166"/>
      <c r="D327" s="167" t="s">
        <v>10</v>
      </c>
      <c r="E327" s="168">
        <f>E330+E332+E333+E334+E335+E336+E337+E338+E339+E340+E341+E342+E343+E344+E345+E346+E347+E348+E349+E350+E351+E352</f>
        <v>57430</v>
      </c>
      <c r="F327" s="168">
        <f>F330+F332+F333+F334+F335+F336+F337+F338+F339+F340+F341+F342+F343+F344+F345+F346+F347+F348+F349+F350+F351+F352</f>
        <v>25000</v>
      </c>
      <c r="G327" s="170">
        <f t="shared" si="115"/>
        <v>0.4353125544140693</v>
      </c>
      <c r="H327" s="168">
        <f>H330+H332+H333+H334+H335+H336+H337+H338+H339+H340+H341+H342+H343+H344+H345+H346+H347+H348+H349+H350+H351+H352</f>
        <v>25000</v>
      </c>
      <c r="I327" s="168">
        <f>I330+I332+I333+I334+I335+I336+I337+I338+I339+I340+I341+I342+I343+I344+I345+I346+I347+I348+I349+I350+I351+I352</f>
        <v>32494</v>
      </c>
      <c r="J327" s="170">
        <f t="shared" si="116"/>
        <v>0.56580184572523073</v>
      </c>
      <c r="K327" s="112" t="e">
        <f>K328+K329+K330+K331+K334+K335+K336+K337+K338+K339+K340+K341+K342+K343+K344+#REF!+K345+K346+K347+K348+K349+K350+K351+#REF!</f>
        <v>#REF!</v>
      </c>
      <c r="L327" s="72" t="e">
        <f>L328+L329+L330+L331+L334+L335+L336+L337+L338+L339+L340+L341+L342+L343+L344+#REF!+L345+L346+L347+L348+L349+L350+L351+#REF!</f>
        <v>#REF!</v>
      </c>
      <c r="M327" s="72" t="e">
        <f>M328+M329+M330+M331+M334+M335+M336+M337+M338+M339+M340+M341+M342+M343+M344+#REF!+M345+M346+M347+M348+M349+M350+M351+#REF!</f>
        <v>#REF!</v>
      </c>
      <c r="N327" s="72" t="e">
        <f>N328+N329+N330+N331+N334+N335+N336+N337+N338+N339+N340+N341+N342+N343+N344+#REF!+N345+N346+N347+N348+N349+N350+N351+#REF!</f>
        <v>#REF!</v>
      </c>
      <c r="O327" s="72"/>
      <c r="P327" s="72" t="e">
        <f>P328+P329+P330+P331+P334+P335+P336+P337+P338+P339+P340+P341+P342+P343+P344+#REF!+P345+P346+P347+P348+P349+P350+P351+#REF!</f>
        <v>#REF!</v>
      </c>
      <c r="Q327" s="72" t="e">
        <f>Q328+Q329+Q330+Q331+Q334+Q335+Q336+Q337+Q338+Q339+Q340+Q341+Q342+Q343+Q344+#REF!+Q345+Q346+Q347+Q348+Q349+Q350+Q351+#REF!</f>
        <v>#REF!</v>
      </c>
      <c r="R327" s="72" t="e">
        <f>R328+R329+R330+R331+R334+R335+R336+R337+R338+R339+R340+R341+R342+R343+R344+#REF!+R345+R346+R347+R348+R349+R350+R351+#REF!</f>
        <v>#REF!</v>
      </c>
      <c r="S327" s="73" t="e">
        <f>S328+S329+S330+S331+S334+S335+S336+S337+S338+S339+S340+S341+S342+S343+S344+#REF!+S345+S346+S347+S348+S349+S350+S351+#REF!</f>
        <v>#REF!</v>
      </c>
      <c r="T327" s="72" t="e">
        <f>T328+T329+T330+T331+T334+T335+T336+T337+T338+T339+T340+T341+T342+T343+T344+#REF!+T345+T346+T347+T348+T349+T350+T351+#REF!</f>
        <v>#REF!</v>
      </c>
      <c r="U327" s="72" t="e">
        <f>U328+U329+U330+U331+U334+U335+U336+U337+U338+U339+U340+U341+U342+U343+U344+#REF!+U345+U346+U347+U348+U349+U350+U351+#REF!</f>
        <v>#REF!</v>
      </c>
      <c r="V327" s="72" t="e">
        <f>V328+V329+V330+V331+V334+V335+V336+V337+V338+V339+V340+V341+V342+V343+V344+#REF!+V345+V346+V347+V348+V349+V350+V351+#REF!</f>
        <v>#REF!</v>
      </c>
      <c r="W327" s="72" t="e">
        <f>W328+W329+W330+W331+W334+W335+W336+W337+W338+W339+W340+W341+W342+W343+W344+#REF!+W345+W346+W347+W348+W349+W350+W351+#REF!</f>
        <v>#REF!</v>
      </c>
      <c r="X327" s="72" t="e">
        <f>X328+X329+X330+X331+X334+X335+X336+X337+X338+X339+X340+X341+X342+X343+X344+#REF!+X345+X346+X347+X348+X349+X350+X351+#REF!</f>
        <v>#REF!</v>
      </c>
      <c r="Y327" s="72" t="e">
        <f>Y328+Y329+Y330+Y331+Y334+Y335+Y336+Y337+Y338+Y339+Y340+Y341+Y342+Y343+Y344+#REF!+Y345+Y346+Y347+Y348+Y349+Y350+Y351+#REF!</f>
        <v>#REF!</v>
      </c>
      <c r="Z327" s="72" t="e">
        <f>Z328+Z329+Z330+Z331+Z334+Z335+Z336+Z337+Z338+Z339+Z340+Z341+Z342+Z343+Z344+#REF!+Z345+Z346+Z347+Z348+Z349+Z350+Z351+#REF!</f>
        <v>#REF!</v>
      </c>
      <c r="AA327" s="72" t="e">
        <f>AA328+AA329+AA330+AA331+AA334+AA335+AA336+AA337+AA338+AA339+AA340+AA341+AA342+AA343+AA344+#REF!+AA345+AA346+AA347+AA348+AA349+AA350+AA351+#REF!</f>
        <v>#REF!</v>
      </c>
      <c r="AB327" s="72" t="e">
        <f>AB328+AB329+AB330+AB331+AB334+AB335+AB336+AB337+AB338+AB339+AB340+AB341+AB342+AB343+AB344+#REF!+AB345+AB346+AB347+AB348+AB349+AB350+AB351+#REF!</f>
        <v>#REF!</v>
      </c>
      <c r="AC327" s="72" t="e">
        <f>AC328+AC329+AC330+AC331+AC334+AC335+AC336+AC337+AC338+AC339+AC340+AC341+AC342+AC343+AC344+#REF!+AC345+AC346+AC347+AC348+AC349+AC350+AC351+#REF!</f>
        <v>#REF!</v>
      </c>
      <c r="AD327" s="72" t="e">
        <f>AD328+AD329+AD330+AD331+AD334+AD335+AD336+AD337+AD338+AD339+AD340+AD341+AD342+AD343+AD344+#REF!+AD345+AD346+AD347+AD348+AD349+AD350+AD351+#REF!</f>
        <v>#REF!</v>
      </c>
      <c r="AE327" s="72" t="e">
        <f>AE328+AE329+AE330+AE331+AE334+AE335+AE336+AE337+AE338+AE339+AE340+AE341+AE342+AE343+AE344+#REF!+AE345+AE346+AE347+AE348+AE349+AE350+AE351+#REF!</f>
        <v>#REF!</v>
      </c>
      <c r="AF327" s="72" t="e">
        <f>AF328+AF329+AF330+AF331+AF334+AF335+AF336+AF337+AF338+AF339+AF340+AF341+AF342+AF343+AF344+#REF!+AF345+AF346+AF347+AF348+AF349+AF350+AF351+#REF!</f>
        <v>#REF!</v>
      </c>
    </row>
    <row r="328" spans="1:32" ht="90" hidden="1" x14ac:dyDescent="0.2">
      <c r="A328" s="4"/>
      <c r="B328" s="31"/>
      <c r="C328" s="42" t="s">
        <v>58</v>
      </c>
      <c r="D328" s="134" t="s">
        <v>251</v>
      </c>
      <c r="E328" s="32">
        <v>0</v>
      </c>
      <c r="F328" s="20">
        <v>0</v>
      </c>
      <c r="G328" s="11">
        <v>0</v>
      </c>
      <c r="H328" s="32">
        <v>0</v>
      </c>
      <c r="I328" s="20">
        <v>0</v>
      </c>
      <c r="J328" s="11">
        <v>0</v>
      </c>
      <c r="K328" s="24">
        <f>L328+T328+U328+AF328</f>
        <v>0</v>
      </c>
      <c r="L328" s="19">
        <f t="shared" si="118"/>
        <v>0</v>
      </c>
      <c r="M328" s="19"/>
      <c r="N328" s="19"/>
      <c r="O328" s="19"/>
      <c r="P328" s="19"/>
      <c r="Q328" s="19">
        <v>0</v>
      </c>
      <c r="R328" s="19"/>
      <c r="S328" s="19"/>
      <c r="T328" s="19"/>
      <c r="U328" s="19">
        <f>SUM(V328:AE328)</f>
        <v>0</v>
      </c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</row>
    <row r="329" spans="1:32" ht="90" hidden="1" x14ac:dyDescent="0.2">
      <c r="A329" s="4"/>
      <c r="B329" s="31"/>
      <c r="C329" s="42" t="s">
        <v>59</v>
      </c>
      <c r="D329" s="134" t="s">
        <v>251</v>
      </c>
      <c r="E329" s="32">
        <v>0</v>
      </c>
      <c r="F329" s="20">
        <v>0</v>
      </c>
      <c r="G329" s="11">
        <v>0</v>
      </c>
      <c r="H329" s="32">
        <v>0</v>
      </c>
      <c r="I329" s="20">
        <v>0</v>
      </c>
      <c r="J329" s="11" t="e">
        <f t="shared" si="116"/>
        <v>#DIV/0!</v>
      </c>
      <c r="K329" s="24">
        <f t="shared" ref="K329:K351" si="119">L329+T329+U329+AF329</f>
        <v>0</v>
      </c>
      <c r="L329" s="19">
        <f t="shared" si="118"/>
        <v>0</v>
      </c>
      <c r="M329" s="19"/>
      <c r="N329" s="19"/>
      <c r="O329" s="19"/>
      <c r="P329" s="19"/>
      <c r="Q329" s="19">
        <v>0</v>
      </c>
      <c r="R329" s="19"/>
      <c r="S329" s="19"/>
      <c r="T329" s="19"/>
      <c r="U329" s="19">
        <f t="shared" ref="U329:U351" si="120">SUM(V329:AE329)</f>
        <v>0</v>
      </c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</row>
    <row r="330" spans="1:32" ht="67.5" x14ac:dyDescent="0.2">
      <c r="A330" s="4"/>
      <c r="B330" s="31"/>
      <c r="C330" s="42" t="s">
        <v>77</v>
      </c>
      <c r="D330" s="134" t="s">
        <v>216</v>
      </c>
      <c r="E330" s="32">
        <v>25000</v>
      </c>
      <c r="F330" s="20">
        <v>25000</v>
      </c>
      <c r="G330" s="11">
        <f t="shared" si="115"/>
        <v>1</v>
      </c>
      <c r="H330" s="32">
        <v>25000</v>
      </c>
      <c r="I330" s="20">
        <v>0</v>
      </c>
      <c r="J330" s="11">
        <f t="shared" si="116"/>
        <v>0</v>
      </c>
      <c r="K330" s="24">
        <f t="shared" si="119"/>
        <v>0</v>
      </c>
      <c r="L330" s="19">
        <f t="shared" si="118"/>
        <v>0</v>
      </c>
      <c r="M330" s="19"/>
      <c r="N330" s="19">
        <v>0</v>
      </c>
      <c r="O330" s="19"/>
      <c r="P330" s="19"/>
      <c r="Q330" s="19"/>
      <c r="R330" s="19"/>
      <c r="S330" s="19"/>
      <c r="T330" s="19"/>
      <c r="U330" s="19">
        <f t="shared" si="120"/>
        <v>0</v>
      </c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</row>
    <row r="331" spans="1:32" ht="56.25" hidden="1" x14ac:dyDescent="0.2">
      <c r="A331" s="4"/>
      <c r="B331" s="31"/>
      <c r="C331" s="42" t="s">
        <v>7</v>
      </c>
      <c r="D331" s="134" t="s">
        <v>252</v>
      </c>
      <c r="E331" s="32"/>
      <c r="F331" s="20"/>
      <c r="G331" s="11">
        <v>0</v>
      </c>
      <c r="H331" s="32"/>
      <c r="I331" s="20"/>
      <c r="J331" s="11">
        <v>0</v>
      </c>
      <c r="K331" s="24">
        <f t="shared" si="119"/>
        <v>0</v>
      </c>
      <c r="L331" s="19">
        <f t="shared" si="118"/>
        <v>0</v>
      </c>
      <c r="M331" s="19"/>
      <c r="N331" s="19"/>
      <c r="O331" s="19"/>
      <c r="P331" s="19"/>
      <c r="Q331" s="19"/>
      <c r="R331" s="19"/>
      <c r="S331" s="19"/>
      <c r="T331" s="19"/>
      <c r="U331" s="19">
        <f t="shared" si="120"/>
        <v>0</v>
      </c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</row>
    <row r="332" spans="1:32" ht="22.5" hidden="1" x14ac:dyDescent="0.2">
      <c r="A332" s="4"/>
      <c r="B332" s="31"/>
      <c r="C332" s="33" t="s">
        <v>360</v>
      </c>
      <c r="D332" s="34" t="s">
        <v>362</v>
      </c>
      <c r="E332" s="32"/>
      <c r="F332" s="20"/>
      <c r="G332" s="11">
        <v>0</v>
      </c>
      <c r="H332" s="32"/>
      <c r="I332" s="20"/>
      <c r="J332" s="11"/>
      <c r="K332" s="24">
        <f t="shared" si="119"/>
        <v>0</v>
      </c>
      <c r="L332" s="19">
        <f t="shared" si="118"/>
        <v>0</v>
      </c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</row>
    <row r="333" spans="1:32" ht="22.5" hidden="1" x14ac:dyDescent="0.2">
      <c r="A333" s="4"/>
      <c r="B333" s="31"/>
      <c r="C333" s="33" t="s">
        <v>361</v>
      </c>
      <c r="D333" s="34" t="s">
        <v>362</v>
      </c>
      <c r="E333" s="32"/>
      <c r="F333" s="20"/>
      <c r="G333" s="11">
        <v>0</v>
      </c>
      <c r="H333" s="32"/>
      <c r="I333" s="20"/>
      <c r="J333" s="11"/>
      <c r="K333" s="24">
        <f t="shared" si="119"/>
        <v>0</v>
      </c>
      <c r="L333" s="19">
        <f t="shared" si="118"/>
        <v>0</v>
      </c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</row>
    <row r="334" spans="1:32" hidden="1" x14ac:dyDescent="0.2">
      <c r="A334" s="4"/>
      <c r="B334" s="31"/>
      <c r="C334" s="42" t="s">
        <v>253</v>
      </c>
      <c r="D334" s="134" t="s">
        <v>254</v>
      </c>
      <c r="E334" s="32">
        <v>0</v>
      </c>
      <c r="F334" s="20">
        <v>0</v>
      </c>
      <c r="G334" s="11">
        <v>0</v>
      </c>
      <c r="H334" s="32">
        <v>0</v>
      </c>
      <c r="I334" s="20">
        <f t="shared" ref="I334:I335" si="121">K334</f>
        <v>0</v>
      </c>
      <c r="J334" s="11">
        <v>0</v>
      </c>
      <c r="K334" s="24">
        <f t="shared" si="119"/>
        <v>0</v>
      </c>
      <c r="L334" s="19">
        <f t="shared" si="118"/>
        <v>0</v>
      </c>
      <c r="M334" s="19"/>
      <c r="N334" s="19"/>
      <c r="O334" s="19"/>
      <c r="P334" s="19"/>
      <c r="Q334" s="19">
        <v>0</v>
      </c>
      <c r="R334" s="19"/>
      <c r="S334" s="19"/>
      <c r="T334" s="19"/>
      <c r="U334" s="19">
        <f t="shared" si="120"/>
        <v>0</v>
      </c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</row>
    <row r="335" spans="1:32" hidden="1" x14ac:dyDescent="0.2">
      <c r="A335" s="4"/>
      <c r="B335" s="31"/>
      <c r="C335" s="42" t="s">
        <v>255</v>
      </c>
      <c r="D335" s="134" t="s">
        <v>254</v>
      </c>
      <c r="E335" s="32">
        <v>0</v>
      </c>
      <c r="F335" s="20">
        <v>0</v>
      </c>
      <c r="G335" s="11">
        <v>0</v>
      </c>
      <c r="H335" s="32">
        <v>0</v>
      </c>
      <c r="I335" s="20">
        <f t="shared" si="121"/>
        <v>0</v>
      </c>
      <c r="J335" s="11">
        <v>0</v>
      </c>
      <c r="K335" s="24">
        <f t="shared" si="119"/>
        <v>0</v>
      </c>
      <c r="L335" s="19">
        <f t="shared" si="118"/>
        <v>0</v>
      </c>
      <c r="M335" s="19"/>
      <c r="N335" s="19"/>
      <c r="O335" s="19"/>
      <c r="P335" s="19"/>
      <c r="Q335" s="19">
        <v>0</v>
      </c>
      <c r="R335" s="19"/>
      <c r="S335" s="19"/>
      <c r="T335" s="19"/>
      <c r="U335" s="19">
        <f t="shared" si="120"/>
        <v>0</v>
      </c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</row>
    <row r="336" spans="1:32" hidden="1" x14ac:dyDescent="0.2">
      <c r="A336" s="4"/>
      <c r="B336" s="31"/>
      <c r="C336" s="42" t="s">
        <v>256</v>
      </c>
      <c r="D336" s="134" t="s">
        <v>117</v>
      </c>
      <c r="E336" s="32"/>
      <c r="F336" s="20"/>
      <c r="G336" s="11" t="e">
        <f t="shared" si="115"/>
        <v>#DIV/0!</v>
      </c>
      <c r="H336" s="32"/>
      <c r="I336" s="20"/>
      <c r="J336" s="11" t="e">
        <f t="shared" si="116"/>
        <v>#DIV/0!</v>
      </c>
      <c r="K336" s="24">
        <f t="shared" si="119"/>
        <v>0</v>
      </c>
      <c r="L336" s="19">
        <f t="shared" si="118"/>
        <v>0</v>
      </c>
      <c r="M336" s="19"/>
      <c r="N336" s="19"/>
      <c r="O336" s="19"/>
      <c r="P336" s="19"/>
      <c r="Q336" s="19">
        <v>0</v>
      </c>
      <c r="R336" s="19"/>
      <c r="S336" s="19"/>
      <c r="T336" s="19"/>
      <c r="U336" s="19">
        <f t="shared" si="120"/>
        <v>0</v>
      </c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</row>
    <row r="337" spans="1:32" hidden="1" x14ac:dyDescent="0.2">
      <c r="A337" s="4"/>
      <c r="B337" s="31"/>
      <c r="C337" s="42" t="s">
        <v>257</v>
      </c>
      <c r="D337" s="134" t="s">
        <v>117</v>
      </c>
      <c r="E337" s="32"/>
      <c r="F337" s="20"/>
      <c r="G337" s="11" t="e">
        <f t="shared" si="115"/>
        <v>#DIV/0!</v>
      </c>
      <c r="H337" s="32"/>
      <c r="I337" s="20"/>
      <c r="J337" s="11" t="e">
        <f t="shared" si="116"/>
        <v>#DIV/0!</v>
      </c>
      <c r="K337" s="24">
        <f t="shared" si="119"/>
        <v>0</v>
      </c>
      <c r="L337" s="19">
        <f t="shared" si="118"/>
        <v>0</v>
      </c>
      <c r="M337" s="19"/>
      <c r="N337" s="19"/>
      <c r="O337" s="19"/>
      <c r="P337" s="19"/>
      <c r="Q337" s="19">
        <v>0</v>
      </c>
      <c r="R337" s="19"/>
      <c r="S337" s="19"/>
      <c r="T337" s="19"/>
      <c r="U337" s="19">
        <f t="shared" si="120"/>
        <v>0</v>
      </c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</row>
    <row r="338" spans="1:32" x14ac:dyDescent="0.2">
      <c r="A338" s="4"/>
      <c r="B338" s="31"/>
      <c r="C338" s="42" t="s">
        <v>118</v>
      </c>
      <c r="D338" s="134" t="s">
        <v>119</v>
      </c>
      <c r="E338" s="32">
        <v>990</v>
      </c>
      <c r="F338" s="20">
        <v>0</v>
      </c>
      <c r="G338" s="11">
        <f t="shared" si="115"/>
        <v>0</v>
      </c>
      <c r="H338" s="32">
        <v>0</v>
      </c>
      <c r="I338" s="20">
        <v>990</v>
      </c>
      <c r="J338" s="11">
        <f t="shared" si="116"/>
        <v>1</v>
      </c>
      <c r="K338" s="24">
        <f t="shared" si="119"/>
        <v>990</v>
      </c>
      <c r="L338" s="19">
        <f t="shared" si="118"/>
        <v>0</v>
      </c>
      <c r="M338" s="19"/>
      <c r="N338" s="19"/>
      <c r="O338" s="19"/>
      <c r="P338" s="19"/>
      <c r="Q338" s="19"/>
      <c r="R338" s="19"/>
      <c r="S338" s="19"/>
      <c r="T338" s="19"/>
      <c r="U338" s="19">
        <f t="shared" si="120"/>
        <v>990</v>
      </c>
      <c r="V338" s="19"/>
      <c r="W338" s="55">
        <v>990</v>
      </c>
      <c r="X338" s="19"/>
      <c r="Y338" s="19"/>
      <c r="Z338" s="19"/>
      <c r="AA338" s="19"/>
      <c r="AB338" s="19"/>
      <c r="AC338" s="19"/>
      <c r="AD338" s="19"/>
      <c r="AE338" s="19"/>
      <c r="AF338" s="19"/>
    </row>
    <row r="339" spans="1:32" hidden="1" x14ac:dyDescent="0.2">
      <c r="A339" s="4"/>
      <c r="B339" s="31"/>
      <c r="C339" s="42" t="s">
        <v>258</v>
      </c>
      <c r="D339" s="134" t="s">
        <v>119</v>
      </c>
      <c r="E339" s="32"/>
      <c r="F339" s="20"/>
      <c r="G339" s="11" t="e">
        <f t="shared" si="115"/>
        <v>#DIV/0!</v>
      </c>
      <c r="H339" s="32"/>
      <c r="I339" s="20"/>
      <c r="J339" s="11" t="e">
        <f t="shared" si="116"/>
        <v>#DIV/0!</v>
      </c>
      <c r="K339" s="24">
        <f t="shared" si="119"/>
        <v>0</v>
      </c>
      <c r="L339" s="19">
        <f t="shared" si="118"/>
        <v>0</v>
      </c>
      <c r="M339" s="19"/>
      <c r="N339" s="19"/>
      <c r="O339" s="19"/>
      <c r="P339" s="19"/>
      <c r="Q339" s="19">
        <v>0</v>
      </c>
      <c r="R339" s="19"/>
      <c r="S339" s="19"/>
      <c r="T339" s="19"/>
      <c r="U339" s="19">
        <f t="shared" si="120"/>
        <v>0</v>
      </c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</row>
    <row r="340" spans="1:32" hidden="1" x14ac:dyDescent="0.2">
      <c r="A340" s="4"/>
      <c r="B340" s="31"/>
      <c r="C340" s="42" t="s">
        <v>259</v>
      </c>
      <c r="D340" s="134" t="s">
        <v>119</v>
      </c>
      <c r="E340" s="32"/>
      <c r="F340" s="20"/>
      <c r="G340" s="11" t="e">
        <f t="shared" si="115"/>
        <v>#DIV/0!</v>
      </c>
      <c r="H340" s="32"/>
      <c r="I340" s="20"/>
      <c r="J340" s="11" t="e">
        <f t="shared" si="116"/>
        <v>#DIV/0!</v>
      </c>
      <c r="K340" s="24">
        <f t="shared" si="119"/>
        <v>0</v>
      </c>
      <c r="L340" s="19">
        <f t="shared" si="118"/>
        <v>0</v>
      </c>
      <c r="M340" s="19"/>
      <c r="N340" s="19"/>
      <c r="O340" s="19"/>
      <c r="P340" s="19"/>
      <c r="Q340" s="19">
        <v>0</v>
      </c>
      <c r="R340" s="19"/>
      <c r="S340" s="19"/>
      <c r="T340" s="19"/>
      <c r="U340" s="19">
        <f t="shared" si="120"/>
        <v>0</v>
      </c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</row>
    <row r="341" spans="1:32" x14ac:dyDescent="0.2">
      <c r="A341" s="4"/>
      <c r="B341" s="31"/>
      <c r="C341" s="42" t="s">
        <v>120</v>
      </c>
      <c r="D341" s="134" t="s">
        <v>121</v>
      </c>
      <c r="E341" s="32">
        <v>140</v>
      </c>
      <c r="F341" s="20">
        <v>0</v>
      </c>
      <c r="G341" s="11">
        <f t="shared" si="115"/>
        <v>0</v>
      </c>
      <c r="H341" s="32">
        <v>0</v>
      </c>
      <c r="I341" s="20">
        <v>140</v>
      </c>
      <c r="J341" s="11">
        <f t="shared" si="116"/>
        <v>1</v>
      </c>
      <c r="K341" s="24">
        <f t="shared" si="119"/>
        <v>140</v>
      </c>
      <c r="L341" s="19">
        <f t="shared" si="118"/>
        <v>0</v>
      </c>
      <c r="M341" s="19"/>
      <c r="N341" s="19"/>
      <c r="O341" s="19"/>
      <c r="P341" s="19"/>
      <c r="Q341" s="19"/>
      <c r="R341" s="19"/>
      <c r="S341" s="19"/>
      <c r="T341" s="19"/>
      <c r="U341" s="19">
        <f t="shared" si="120"/>
        <v>140</v>
      </c>
      <c r="V341" s="19"/>
      <c r="W341" s="55">
        <v>140</v>
      </c>
      <c r="X341" s="19"/>
      <c r="Y341" s="19"/>
      <c r="Z341" s="19"/>
      <c r="AA341" s="19"/>
      <c r="AB341" s="19"/>
      <c r="AC341" s="19"/>
      <c r="AD341" s="19"/>
      <c r="AE341" s="19"/>
      <c r="AF341" s="19"/>
    </row>
    <row r="342" spans="1:32" hidden="1" x14ac:dyDescent="0.2">
      <c r="A342" s="4"/>
      <c r="B342" s="31"/>
      <c r="C342" s="42" t="s">
        <v>260</v>
      </c>
      <c r="D342" s="134" t="s">
        <v>121</v>
      </c>
      <c r="E342" s="32"/>
      <c r="F342" s="20"/>
      <c r="G342" s="11" t="e">
        <f t="shared" si="115"/>
        <v>#DIV/0!</v>
      </c>
      <c r="H342" s="32"/>
      <c r="I342" s="20"/>
      <c r="J342" s="11" t="e">
        <f t="shared" si="116"/>
        <v>#DIV/0!</v>
      </c>
      <c r="K342" s="24">
        <f t="shared" si="119"/>
        <v>0</v>
      </c>
      <c r="L342" s="19">
        <f t="shared" si="118"/>
        <v>0</v>
      </c>
      <c r="M342" s="19"/>
      <c r="N342" s="19"/>
      <c r="O342" s="19"/>
      <c r="P342" s="19"/>
      <c r="Q342" s="19">
        <v>0</v>
      </c>
      <c r="R342" s="19"/>
      <c r="S342" s="19"/>
      <c r="T342" s="19"/>
      <c r="U342" s="19">
        <f t="shared" si="120"/>
        <v>0</v>
      </c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</row>
    <row r="343" spans="1:32" hidden="1" x14ac:dyDescent="0.2">
      <c r="A343" s="4"/>
      <c r="B343" s="31"/>
      <c r="C343" s="42" t="s">
        <v>261</v>
      </c>
      <c r="D343" s="134" t="s">
        <v>121</v>
      </c>
      <c r="E343" s="32"/>
      <c r="F343" s="20"/>
      <c r="G343" s="11" t="e">
        <f t="shared" si="115"/>
        <v>#DIV/0!</v>
      </c>
      <c r="H343" s="32"/>
      <c r="I343" s="20"/>
      <c r="J343" s="11" t="e">
        <f t="shared" si="116"/>
        <v>#DIV/0!</v>
      </c>
      <c r="K343" s="24">
        <f t="shared" si="119"/>
        <v>0</v>
      </c>
      <c r="L343" s="19">
        <f t="shared" si="118"/>
        <v>0</v>
      </c>
      <c r="M343" s="19"/>
      <c r="N343" s="19"/>
      <c r="O343" s="19"/>
      <c r="P343" s="19"/>
      <c r="Q343" s="19">
        <v>0</v>
      </c>
      <c r="R343" s="19"/>
      <c r="S343" s="19"/>
      <c r="T343" s="19"/>
      <c r="U343" s="19">
        <f t="shared" si="120"/>
        <v>0</v>
      </c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</row>
    <row r="344" spans="1:32" x14ac:dyDescent="0.2">
      <c r="A344" s="4"/>
      <c r="B344" s="31"/>
      <c r="C344" s="42" t="s">
        <v>128</v>
      </c>
      <c r="D344" s="134" t="s">
        <v>129</v>
      </c>
      <c r="E344" s="32">
        <v>5720</v>
      </c>
      <c r="F344" s="20">
        <v>0</v>
      </c>
      <c r="G344" s="11">
        <f t="shared" si="115"/>
        <v>0</v>
      </c>
      <c r="H344" s="32">
        <v>0</v>
      </c>
      <c r="I344" s="20">
        <v>5720</v>
      </c>
      <c r="J344" s="11">
        <f t="shared" si="116"/>
        <v>1</v>
      </c>
      <c r="K344" s="24">
        <f t="shared" si="119"/>
        <v>5720</v>
      </c>
      <c r="L344" s="19">
        <f t="shared" si="118"/>
        <v>0</v>
      </c>
      <c r="M344" s="19"/>
      <c r="N344" s="19"/>
      <c r="O344" s="19"/>
      <c r="P344" s="19"/>
      <c r="Q344" s="19"/>
      <c r="R344" s="19"/>
      <c r="S344" s="19"/>
      <c r="T344" s="19"/>
      <c r="U344" s="19">
        <f t="shared" si="120"/>
        <v>5720</v>
      </c>
      <c r="V344" s="19"/>
      <c r="W344" s="55">
        <v>5720</v>
      </c>
      <c r="X344" s="19"/>
      <c r="Y344" s="19"/>
      <c r="Z344" s="19"/>
      <c r="AA344" s="19"/>
      <c r="AB344" s="19"/>
      <c r="AC344" s="19"/>
      <c r="AD344" s="19"/>
      <c r="AE344" s="19"/>
      <c r="AF344" s="19"/>
    </row>
    <row r="345" spans="1:32" hidden="1" x14ac:dyDescent="0.2">
      <c r="A345" s="4"/>
      <c r="B345" s="31"/>
      <c r="C345" s="42" t="s">
        <v>262</v>
      </c>
      <c r="D345" s="134" t="s">
        <v>123</v>
      </c>
      <c r="E345" s="32"/>
      <c r="F345" s="20"/>
      <c r="G345" s="11">
        <v>0</v>
      </c>
      <c r="H345" s="32"/>
      <c r="I345" s="20"/>
      <c r="J345" s="11">
        <v>0</v>
      </c>
      <c r="K345" s="24">
        <f t="shared" si="119"/>
        <v>0</v>
      </c>
      <c r="L345" s="19">
        <f t="shared" si="118"/>
        <v>0</v>
      </c>
      <c r="M345" s="19"/>
      <c r="N345" s="19"/>
      <c r="O345" s="19"/>
      <c r="P345" s="19"/>
      <c r="Q345" s="19"/>
      <c r="R345" s="19"/>
      <c r="S345" s="19"/>
      <c r="T345" s="19"/>
      <c r="U345" s="19">
        <f t="shared" si="120"/>
        <v>0</v>
      </c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</row>
    <row r="346" spans="1:32" hidden="1" x14ac:dyDescent="0.2">
      <c r="A346" s="4"/>
      <c r="B346" s="31"/>
      <c r="C346" s="42" t="s">
        <v>263</v>
      </c>
      <c r="D346" s="134" t="s">
        <v>123</v>
      </c>
      <c r="E346" s="32"/>
      <c r="F346" s="20"/>
      <c r="G346" s="11">
        <v>0</v>
      </c>
      <c r="H346" s="32"/>
      <c r="I346" s="20"/>
      <c r="J346" s="11">
        <v>0</v>
      </c>
      <c r="K346" s="24">
        <f t="shared" si="119"/>
        <v>0</v>
      </c>
      <c r="L346" s="19">
        <f t="shared" si="118"/>
        <v>0</v>
      </c>
      <c r="M346" s="19"/>
      <c r="N346" s="19"/>
      <c r="O346" s="19"/>
      <c r="P346" s="19"/>
      <c r="Q346" s="19"/>
      <c r="R346" s="19"/>
      <c r="S346" s="19"/>
      <c r="T346" s="19"/>
      <c r="U346" s="19">
        <f t="shared" si="120"/>
        <v>0</v>
      </c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</row>
    <row r="347" spans="1:32" hidden="1" x14ac:dyDescent="0.2">
      <c r="A347" s="4"/>
      <c r="B347" s="31"/>
      <c r="C347" s="42" t="s">
        <v>264</v>
      </c>
      <c r="D347" s="134" t="s">
        <v>232</v>
      </c>
      <c r="E347" s="32"/>
      <c r="F347" s="20"/>
      <c r="G347" s="11" t="e">
        <f t="shared" si="115"/>
        <v>#DIV/0!</v>
      </c>
      <c r="H347" s="32"/>
      <c r="I347" s="20"/>
      <c r="J347" s="11" t="e">
        <f t="shared" si="116"/>
        <v>#DIV/0!</v>
      </c>
      <c r="K347" s="24">
        <f t="shared" si="119"/>
        <v>0</v>
      </c>
      <c r="L347" s="19">
        <f t="shared" si="118"/>
        <v>0</v>
      </c>
      <c r="M347" s="19"/>
      <c r="N347" s="19"/>
      <c r="O347" s="19"/>
      <c r="P347" s="19"/>
      <c r="Q347" s="19"/>
      <c r="R347" s="19"/>
      <c r="S347" s="19"/>
      <c r="T347" s="19"/>
      <c r="U347" s="19">
        <f t="shared" si="120"/>
        <v>0</v>
      </c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</row>
    <row r="348" spans="1:32" hidden="1" x14ac:dyDescent="0.2">
      <c r="A348" s="4"/>
      <c r="B348" s="31"/>
      <c r="C348" s="42" t="s">
        <v>265</v>
      </c>
      <c r="D348" s="134" t="s">
        <v>232</v>
      </c>
      <c r="E348" s="32"/>
      <c r="F348" s="20"/>
      <c r="G348" s="11" t="e">
        <f t="shared" si="115"/>
        <v>#DIV/0!</v>
      </c>
      <c r="H348" s="32"/>
      <c r="I348" s="20"/>
      <c r="J348" s="11" t="e">
        <f t="shared" si="116"/>
        <v>#DIV/0!</v>
      </c>
      <c r="K348" s="24">
        <f t="shared" si="119"/>
        <v>0</v>
      </c>
      <c r="L348" s="19">
        <f t="shared" si="118"/>
        <v>0</v>
      </c>
      <c r="M348" s="19"/>
      <c r="N348" s="19"/>
      <c r="O348" s="19"/>
      <c r="P348" s="19"/>
      <c r="Q348" s="19"/>
      <c r="R348" s="19"/>
      <c r="S348" s="19"/>
      <c r="T348" s="19"/>
      <c r="U348" s="19">
        <f t="shared" si="120"/>
        <v>0</v>
      </c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</row>
    <row r="349" spans="1:32" x14ac:dyDescent="0.2">
      <c r="A349" s="4"/>
      <c r="B349" s="31"/>
      <c r="C349" s="42" t="s">
        <v>124</v>
      </c>
      <c r="D349" s="134" t="s">
        <v>125</v>
      </c>
      <c r="E349" s="32">
        <v>25580</v>
      </c>
      <c r="F349" s="20">
        <v>0</v>
      </c>
      <c r="G349" s="11">
        <f t="shared" si="115"/>
        <v>0</v>
      </c>
      <c r="H349" s="32">
        <v>0</v>
      </c>
      <c r="I349" s="20">
        <v>25580</v>
      </c>
      <c r="J349" s="11">
        <f t="shared" si="116"/>
        <v>1</v>
      </c>
      <c r="K349" s="24">
        <f t="shared" si="119"/>
        <v>25580</v>
      </c>
      <c r="L349" s="19">
        <f t="shared" si="118"/>
        <v>0</v>
      </c>
      <c r="M349" s="19"/>
      <c r="N349" s="19"/>
      <c r="O349" s="19"/>
      <c r="P349" s="19"/>
      <c r="Q349" s="19"/>
      <c r="R349" s="19"/>
      <c r="S349" s="19"/>
      <c r="T349" s="19"/>
      <c r="U349" s="19">
        <f t="shared" si="120"/>
        <v>25580</v>
      </c>
      <c r="V349" s="19"/>
      <c r="W349" s="101">
        <v>19580</v>
      </c>
      <c r="X349" s="19"/>
      <c r="Y349" s="19"/>
      <c r="Z349" s="19"/>
      <c r="AA349" s="19"/>
      <c r="AB349" s="19"/>
      <c r="AC349" s="19"/>
      <c r="AD349" s="19"/>
      <c r="AE349" s="55">
        <v>6000</v>
      </c>
      <c r="AF349" s="19"/>
    </row>
    <row r="350" spans="1:32" hidden="1" x14ac:dyDescent="0.2">
      <c r="A350" s="4"/>
      <c r="B350" s="31"/>
      <c r="C350" s="42" t="s">
        <v>266</v>
      </c>
      <c r="D350" s="134" t="s">
        <v>125</v>
      </c>
      <c r="E350" s="32"/>
      <c r="F350" s="20"/>
      <c r="G350" s="11" t="e">
        <f t="shared" si="115"/>
        <v>#DIV/0!</v>
      </c>
      <c r="H350" s="32"/>
      <c r="I350" s="20"/>
      <c r="J350" s="11" t="e">
        <f t="shared" si="116"/>
        <v>#DIV/0!</v>
      </c>
      <c r="K350" s="24">
        <f t="shared" si="119"/>
        <v>0</v>
      </c>
      <c r="L350" s="19">
        <f t="shared" si="118"/>
        <v>0</v>
      </c>
      <c r="M350" s="19"/>
      <c r="N350" s="19"/>
      <c r="O350" s="19"/>
      <c r="P350" s="19"/>
      <c r="Q350" s="19"/>
      <c r="R350" s="19"/>
      <c r="S350" s="19"/>
      <c r="T350" s="19"/>
      <c r="U350" s="19">
        <f t="shared" si="120"/>
        <v>0</v>
      </c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</row>
    <row r="351" spans="1:32" hidden="1" x14ac:dyDescent="0.2">
      <c r="A351" s="4"/>
      <c r="B351" s="31"/>
      <c r="C351" s="42" t="s">
        <v>267</v>
      </c>
      <c r="D351" s="134" t="s">
        <v>125</v>
      </c>
      <c r="E351" s="32"/>
      <c r="F351" s="20"/>
      <c r="G351" s="11" t="e">
        <f t="shared" si="115"/>
        <v>#DIV/0!</v>
      </c>
      <c r="H351" s="32"/>
      <c r="I351" s="20"/>
      <c r="J351" s="11" t="e">
        <f t="shared" si="116"/>
        <v>#DIV/0!</v>
      </c>
      <c r="K351" s="24">
        <f t="shared" si="119"/>
        <v>0</v>
      </c>
      <c r="L351" s="19">
        <f t="shared" si="118"/>
        <v>0</v>
      </c>
      <c r="M351" s="19"/>
      <c r="N351" s="19"/>
      <c r="O351" s="19"/>
      <c r="P351" s="19"/>
      <c r="Q351" s="19"/>
      <c r="R351" s="19"/>
      <c r="S351" s="19"/>
      <c r="T351" s="19"/>
      <c r="U351" s="19">
        <f t="shared" si="120"/>
        <v>0</v>
      </c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</row>
    <row r="352" spans="1:32" ht="22.5" x14ac:dyDescent="0.2">
      <c r="A352" s="4"/>
      <c r="B352" s="31"/>
      <c r="C352" s="33" t="s">
        <v>380</v>
      </c>
      <c r="D352" s="34" t="s">
        <v>382</v>
      </c>
      <c r="E352" s="32">
        <v>0</v>
      </c>
      <c r="F352" s="20">
        <v>0</v>
      </c>
      <c r="G352" s="11">
        <v>0</v>
      </c>
      <c r="H352" s="32">
        <v>0</v>
      </c>
      <c r="I352" s="20">
        <v>64</v>
      </c>
      <c r="J352" s="11">
        <v>0</v>
      </c>
      <c r="K352" s="24"/>
      <c r="L352" s="52"/>
      <c r="M352" s="52"/>
      <c r="N352" s="52"/>
      <c r="O352" s="52"/>
      <c r="P352" s="52"/>
      <c r="Q352" s="52"/>
      <c r="R352" s="52"/>
      <c r="S352" s="53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</row>
    <row r="353" spans="1:32" ht="24" customHeight="1" x14ac:dyDescent="0.2">
      <c r="A353" s="155" t="s">
        <v>268</v>
      </c>
      <c r="B353" s="156"/>
      <c r="C353" s="157"/>
      <c r="D353" s="158" t="s">
        <v>269</v>
      </c>
      <c r="E353" s="159">
        <f>E354+E357+E361+E374</f>
        <v>469000</v>
      </c>
      <c r="F353" s="159">
        <f>F354+F357+F361+F374</f>
        <v>239061.37999999998</v>
      </c>
      <c r="G353" s="87">
        <f t="shared" si="115"/>
        <v>0.50972575692963751</v>
      </c>
      <c r="H353" s="135">
        <f t="shared" ref="H353:AF353" si="122">H354+H357+H361+H374</f>
        <v>322580.70666666667</v>
      </c>
      <c r="I353" s="135">
        <f t="shared" si="122"/>
        <v>377000</v>
      </c>
      <c r="J353" s="87">
        <f t="shared" si="116"/>
        <v>0.80383795309168449</v>
      </c>
      <c r="K353" s="108" t="e">
        <f t="shared" si="122"/>
        <v>#REF!</v>
      </c>
      <c r="L353" s="12" t="e">
        <f t="shared" si="122"/>
        <v>#REF!</v>
      </c>
      <c r="M353" s="12" t="e">
        <f t="shared" si="122"/>
        <v>#REF!</v>
      </c>
      <c r="N353" s="12" t="e">
        <f t="shared" si="122"/>
        <v>#REF!</v>
      </c>
      <c r="O353" s="12"/>
      <c r="P353" s="12" t="e">
        <f t="shared" si="122"/>
        <v>#REF!</v>
      </c>
      <c r="Q353" s="12" t="e">
        <f t="shared" si="122"/>
        <v>#REF!</v>
      </c>
      <c r="R353" s="12" t="e">
        <f t="shared" si="122"/>
        <v>#REF!</v>
      </c>
      <c r="S353" s="16" t="e">
        <f>S354+S357+S361+S374</f>
        <v>#REF!</v>
      </c>
      <c r="T353" s="12" t="e">
        <f t="shared" si="122"/>
        <v>#REF!</v>
      </c>
      <c r="U353" s="12" t="e">
        <f t="shared" si="122"/>
        <v>#REF!</v>
      </c>
      <c r="V353" s="12" t="e">
        <f t="shared" si="122"/>
        <v>#REF!</v>
      </c>
      <c r="W353" s="12" t="e">
        <f t="shared" si="122"/>
        <v>#REF!</v>
      </c>
      <c r="X353" s="12" t="e">
        <f t="shared" si="122"/>
        <v>#REF!</v>
      </c>
      <c r="Y353" s="12" t="e">
        <f t="shared" si="122"/>
        <v>#REF!</v>
      </c>
      <c r="Z353" s="12" t="e">
        <f t="shared" si="122"/>
        <v>#REF!</v>
      </c>
      <c r="AA353" s="12" t="e">
        <f t="shared" si="122"/>
        <v>#REF!</v>
      </c>
      <c r="AB353" s="12" t="e">
        <f t="shared" si="122"/>
        <v>#REF!</v>
      </c>
      <c r="AC353" s="12" t="e">
        <f t="shared" si="122"/>
        <v>#REF!</v>
      </c>
      <c r="AD353" s="12" t="e">
        <f t="shared" si="122"/>
        <v>#REF!</v>
      </c>
      <c r="AE353" s="12" t="e">
        <f t="shared" si="122"/>
        <v>#REF!</v>
      </c>
      <c r="AF353" s="12" t="e">
        <f t="shared" si="122"/>
        <v>#REF!</v>
      </c>
    </row>
    <row r="354" spans="1:32" ht="15.75" x14ac:dyDescent="0.2">
      <c r="A354" s="3"/>
      <c r="B354" s="165" t="s">
        <v>270</v>
      </c>
      <c r="C354" s="166"/>
      <c r="D354" s="167" t="s">
        <v>271</v>
      </c>
      <c r="E354" s="168">
        <f>E355+E356</f>
        <v>80000</v>
      </c>
      <c r="F354" s="168">
        <f>F355+F356</f>
        <v>60000</v>
      </c>
      <c r="G354" s="170">
        <f t="shared" si="115"/>
        <v>0.75</v>
      </c>
      <c r="H354" s="171">
        <f>H356+H355</f>
        <v>60000</v>
      </c>
      <c r="I354" s="171">
        <f t="shared" ref="I354:AF354" si="123">I355</f>
        <v>0</v>
      </c>
      <c r="J354" s="170">
        <f t="shared" si="116"/>
        <v>0</v>
      </c>
      <c r="K354" s="112">
        <f t="shared" si="123"/>
        <v>60000</v>
      </c>
      <c r="L354" s="72">
        <f t="shared" si="123"/>
        <v>60000</v>
      </c>
      <c r="M354" s="72">
        <f t="shared" si="123"/>
        <v>0</v>
      </c>
      <c r="N354" s="72">
        <f t="shared" si="123"/>
        <v>0</v>
      </c>
      <c r="O354" s="72"/>
      <c r="P354" s="72">
        <f t="shared" si="123"/>
        <v>0</v>
      </c>
      <c r="Q354" s="72">
        <f t="shared" si="123"/>
        <v>60000</v>
      </c>
      <c r="R354" s="72">
        <f t="shared" si="123"/>
        <v>0</v>
      </c>
      <c r="S354" s="73">
        <f>S355</f>
        <v>0</v>
      </c>
      <c r="T354" s="72">
        <f t="shared" si="123"/>
        <v>0</v>
      </c>
      <c r="U354" s="72">
        <f t="shared" si="123"/>
        <v>0</v>
      </c>
      <c r="V354" s="72">
        <f t="shared" si="123"/>
        <v>0</v>
      </c>
      <c r="W354" s="72">
        <f t="shared" si="123"/>
        <v>0</v>
      </c>
      <c r="X354" s="72">
        <f t="shared" si="123"/>
        <v>0</v>
      </c>
      <c r="Y354" s="72">
        <f t="shared" si="123"/>
        <v>0</v>
      </c>
      <c r="Z354" s="72">
        <f t="shared" si="123"/>
        <v>0</v>
      </c>
      <c r="AA354" s="72">
        <f t="shared" si="123"/>
        <v>0</v>
      </c>
      <c r="AB354" s="72">
        <f t="shared" si="123"/>
        <v>0</v>
      </c>
      <c r="AC354" s="72">
        <f t="shared" si="123"/>
        <v>0</v>
      </c>
      <c r="AD354" s="72">
        <f t="shared" si="123"/>
        <v>0</v>
      </c>
      <c r="AE354" s="72">
        <f t="shared" si="123"/>
        <v>0</v>
      </c>
      <c r="AF354" s="72">
        <f t="shared" si="123"/>
        <v>0</v>
      </c>
    </row>
    <row r="355" spans="1:32" ht="56.25" x14ac:dyDescent="0.2">
      <c r="A355" s="4"/>
      <c r="B355" s="31"/>
      <c r="C355" s="42" t="s">
        <v>272</v>
      </c>
      <c r="D355" s="134" t="s">
        <v>273</v>
      </c>
      <c r="E355" s="32">
        <v>20000</v>
      </c>
      <c r="F355" s="20">
        <v>0</v>
      </c>
      <c r="G355" s="11">
        <f t="shared" si="115"/>
        <v>0</v>
      </c>
      <c r="H355" s="20">
        <v>0</v>
      </c>
      <c r="I355" s="20">
        <v>0</v>
      </c>
      <c r="J355" s="11">
        <f t="shared" si="116"/>
        <v>0</v>
      </c>
      <c r="K355" s="24">
        <f>L355+T355+U355+AF355</f>
        <v>60000</v>
      </c>
      <c r="L355" s="19">
        <f>SUM(M355:S355)</f>
        <v>60000</v>
      </c>
      <c r="M355" s="19"/>
      <c r="N355" s="19"/>
      <c r="O355" s="19"/>
      <c r="P355" s="19"/>
      <c r="Q355" s="99">
        <v>60000</v>
      </c>
      <c r="R355" s="19"/>
      <c r="S355" s="19"/>
      <c r="T355" s="19"/>
      <c r="U355" s="19">
        <f>SUM(V355:AE355)</f>
        <v>0</v>
      </c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</row>
    <row r="356" spans="1:32" ht="67.5" x14ac:dyDescent="0.2">
      <c r="A356" s="4"/>
      <c r="B356" s="31"/>
      <c r="C356" s="33" t="s">
        <v>8</v>
      </c>
      <c r="D356" s="34" t="s">
        <v>139</v>
      </c>
      <c r="E356" s="32">
        <v>60000</v>
      </c>
      <c r="F356" s="20">
        <v>60000</v>
      </c>
      <c r="G356" s="11">
        <f>F356/E356</f>
        <v>1</v>
      </c>
      <c r="H356" s="20">
        <v>60000</v>
      </c>
      <c r="I356" s="20">
        <v>0</v>
      </c>
      <c r="J356" s="11">
        <f t="shared" si="116"/>
        <v>0</v>
      </c>
      <c r="K356" s="24"/>
      <c r="L356" s="52"/>
      <c r="M356" s="52"/>
      <c r="N356" s="52"/>
      <c r="O356" s="52"/>
      <c r="P356" s="52"/>
      <c r="Q356" s="149"/>
      <c r="R356" s="52"/>
      <c r="S356" s="53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</row>
    <row r="357" spans="1:32" ht="15.75" x14ac:dyDescent="0.2">
      <c r="A357" s="3"/>
      <c r="B357" s="165" t="s">
        <v>274</v>
      </c>
      <c r="C357" s="166"/>
      <c r="D357" s="167" t="s">
        <v>275</v>
      </c>
      <c r="E357" s="168">
        <f>E358+E359+E360</f>
        <v>3000</v>
      </c>
      <c r="F357" s="168">
        <f t="shared" ref="F357:AF357" si="124">F358+F359+F360</f>
        <v>0</v>
      </c>
      <c r="G357" s="170">
        <f t="shared" si="115"/>
        <v>0</v>
      </c>
      <c r="H357" s="168">
        <f t="shared" si="124"/>
        <v>0</v>
      </c>
      <c r="I357" s="168">
        <f t="shared" si="124"/>
        <v>3000</v>
      </c>
      <c r="J357" s="170">
        <f t="shared" si="116"/>
        <v>1</v>
      </c>
      <c r="K357" s="112">
        <f t="shared" si="124"/>
        <v>3000</v>
      </c>
      <c r="L357" s="72">
        <f t="shared" si="124"/>
        <v>3000</v>
      </c>
      <c r="M357" s="72">
        <f t="shared" si="124"/>
        <v>0</v>
      </c>
      <c r="N357" s="72">
        <f t="shared" si="124"/>
        <v>0</v>
      </c>
      <c r="O357" s="72"/>
      <c r="P357" s="72">
        <f t="shared" si="124"/>
        <v>0</v>
      </c>
      <c r="Q357" s="72">
        <f t="shared" si="124"/>
        <v>3000</v>
      </c>
      <c r="R357" s="72">
        <f t="shared" si="124"/>
        <v>0</v>
      </c>
      <c r="S357" s="73">
        <f>S358+S359+S360</f>
        <v>0</v>
      </c>
      <c r="T357" s="72">
        <f t="shared" si="124"/>
        <v>0</v>
      </c>
      <c r="U357" s="72">
        <f t="shared" si="124"/>
        <v>0</v>
      </c>
      <c r="V357" s="72">
        <f t="shared" si="124"/>
        <v>0</v>
      </c>
      <c r="W357" s="72">
        <f t="shared" si="124"/>
        <v>0</v>
      </c>
      <c r="X357" s="72">
        <f t="shared" si="124"/>
        <v>0</v>
      </c>
      <c r="Y357" s="72">
        <f t="shared" si="124"/>
        <v>0</v>
      </c>
      <c r="Z357" s="72">
        <f t="shared" si="124"/>
        <v>0</v>
      </c>
      <c r="AA357" s="72">
        <f t="shared" si="124"/>
        <v>0</v>
      </c>
      <c r="AB357" s="72">
        <f t="shared" si="124"/>
        <v>0</v>
      </c>
      <c r="AC357" s="72">
        <f t="shared" si="124"/>
        <v>0</v>
      </c>
      <c r="AD357" s="72">
        <f t="shared" si="124"/>
        <v>0</v>
      </c>
      <c r="AE357" s="72">
        <f t="shared" si="124"/>
        <v>0</v>
      </c>
      <c r="AF357" s="72">
        <f t="shared" si="124"/>
        <v>0</v>
      </c>
    </row>
    <row r="358" spans="1:32" x14ac:dyDescent="0.2">
      <c r="A358" s="4"/>
      <c r="B358" s="31"/>
      <c r="C358" s="42" t="s">
        <v>128</v>
      </c>
      <c r="D358" s="134" t="s">
        <v>129</v>
      </c>
      <c r="E358" s="139">
        <v>1120</v>
      </c>
      <c r="F358" s="20">
        <v>0</v>
      </c>
      <c r="G358" s="11">
        <f t="shared" si="115"/>
        <v>0</v>
      </c>
      <c r="H358" s="20">
        <v>0</v>
      </c>
      <c r="I358" s="20">
        <v>1120</v>
      </c>
      <c r="J358" s="11">
        <f t="shared" si="116"/>
        <v>1</v>
      </c>
      <c r="K358" s="24">
        <f>L358+T358+U358+AF358</f>
        <v>1120</v>
      </c>
      <c r="L358" s="19">
        <f>SUM(M358:S358)</f>
        <v>1120</v>
      </c>
      <c r="M358" s="19"/>
      <c r="N358" s="19"/>
      <c r="O358" s="19"/>
      <c r="P358" s="19"/>
      <c r="Q358" s="55">
        <v>1120</v>
      </c>
      <c r="R358" s="19"/>
      <c r="S358" s="19"/>
      <c r="T358" s="19"/>
      <c r="U358" s="19">
        <f>SUM(V358:AE358)</f>
        <v>0</v>
      </c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</row>
    <row r="359" spans="1:32" x14ac:dyDescent="0.2">
      <c r="A359" s="4"/>
      <c r="B359" s="31"/>
      <c r="C359" s="42" t="s">
        <v>122</v>
      </c>
      <c r="D359" s="134" t="s">
        <v>123</v>
      </c>
      <c r="E359" s="139">
        <v>1000</v>
      </c>
      <c r="F359" s="20">
        <v>0</v>
      </c>
      <c r="G359" s="11">
        <f t="shared" si="115"/>
        <v>0</v>
      </c>
      <c r="H359" s="20">
        <v>0</v>
      </c>
      <c r="I359" s="20">
        <v>1000</v>
      </c>
      <c r="J359" s="11">
        <f t="shared" si="116"/>
        <v>1</v>
      </c>
      <c r="K359" s="24">
        <f t="shared" ref="K359:K360" si="125">L359+T359+U359+AF359</f>
        <v>1000</v>
      </c>
      <c r="L359" s="19">
        <f>SUM(M359:S359)</f>
        <v>1000</v>
      </c>
      <c r="M359" s="19"/>
      <c r="N359" s="19"/>
      <c r="O359" s="19"/>
      <c r="P359" s="19"/>
      <c r="Q359" s="55">
        <v>1000</v>
      </c>
      <c r="R359" s="19"/>
      <c r="S359" s="19"/>
      <c r="T359" s="19"/>
      <c r="U359" s="19">
        <f>SUM(V359:AE359)</f>
        <v>0</v>
      </c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</row>
    <row r="360" spans="1:32" x14ac:dyDescent="0.2">
      <c r="A360" s="4"/>
      <c r="B360" s="31"/>
      <c r="C360" s="42" t="s">
        <v>124</v>
      </c>
      <c r="D360" s="134" t="s">
        <v>125</v>
      </c>
      <c r="E360" s="139">
        <v>880</v>
      </c>
      <c r="F360" s="20">
        <v>0</v>
      </c>
      <c r="G360" s="11">
        <f t="shared" si="115"/>
        <v>0</v>
      </c>
      <c r="H360" s="20">
        <v>0</v>
      </c>
      <c r="I360" s="20">
        <v>880</v>
      </c>
      <c r="J360" s="11">
        <f t="shared" si="116"/>
        <v>1</v>
      </c>
      <c r="K360" s="24">
        <f t="shared" si="125"/>
        <v>880</v>
      </c>
      <c r="L360" s="19">
        <f>SUM(M360:S360)</f>
        <v>880</v>
      </c>
      <c r="M360" s="19"/>
      <c r="N360" s="19"/>
      <c r="O360" s="19"/>
      <c r="P360" s="19"/>
      <c r="Q360" s="55">
        <v>880</v>
      </c>
      <c r="R360" s="19"/>
      <c r="S360" s="19"/>
      <c r="T360" s="19"/>
      <c r="U360" s="19">
        <f>SUM(V360:AE360)</f>
        <v>0</v>
      </c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</row>
    <row r="361" spans="1:32" ht="15.75" x14ac:dyDescent="0.2">
      <c r="A361" s="3"/>
      <c r="B361" s="165" t="s">
        <v>276</v>
      </c>
      <c r="C361" s="166"/>
      <c r="D361" s="167" t="s">
        <v>277</v>
      </c>
      <c r="E361" s="168">
        <f>E362+E363+E364+E365+E366+E367+E368+E369+E370+E371+E372+E373</f>
        <v>369000</v>
      </c>
      <c r="F361" s="168">
        <f t="shared" ref="F361:AF361" si="126">F362+F363+F364+F365+F366+F367+F368+F369+F370+F371+F372+F373</f>
        <v>164106.10999999999</v>
      </c>
      <c r="G361" s="170">
        <f t="shared" si="115"/>
        <v>0.44473200542005414</v>
      </c>
      <c r="H361" s="168">
        <f t="shared" si="126"/>
        <v>252580.70666666664</v>
      </c>
      <c r="I361" s="168">
        <f t="shared" si="126"/>
        <v>362000</v>
      </c>
      <c r="J361" s="170">
        <f t="shared" si="116"/>
        <v>0.98102981029810299</v>
      </c>
      <c r="K361" s="112">
        <f t="shared" si="126"/>
        <v>369000</v>
      </c>
      <c r="L361" s="72">
        <f t="shared" si="126"/>
        <v>369000</v>
      </c>
      <c r="M361" s="72">
        <f t="shared" si="126"/>
        <v>0</v>
      </c>
      <c r="N361" s="72">
        <f t="shared" si="126"/>
        <v>0</v>
      </c>
      <c r="O361" s="72"/>
      <c r="P361" s="72">
        <f t="shared" si="126"/>
        <v>0</v>
      </c>
      <c r="Q361" s="72">
        <f t="shared" si="126"/>
        <v>369000</v>
      </c>
      <c r="R361" s="72">
        <f t="shared" si="126"/>
        <v>0</v>
      </c>
      <c r="S361" s="73">
        <f>S362+S363+S364+S365+S366+S367+S368+S369+S370+S371+S372+S373</f>
        <v>0</v>
      </c>
      <c r="T361" s="72">
        <f t="shared" si="126"/>
        <v>0</v>
      </c>
      <c r="U361" s="72">
        <f t="shared" si="126"/>
        <v>0</v>
      </c>
      <c r="V361" s="72">
        <f t="shared" si="126"/>
        <v>0</v>
      </c>
      <c r="W361" s="72">
        <f t="shared" si="126"/>
        <v>0</v>
      </c>
      <c r="X361" s="72">
        <f t="shared" si="126"/>
        <v>0</v>
      </c>
      <c r="Y361" s="72">
        <f t="shared" si="126"/>
        <v>0</v>
      </c>
      <c r="Z361" s="72">
        <f t="shared" si="126"/>
        <v>0</v>
      </c>
      <c r="AA361" s="72">
        <f t="shared" si="126"/>
        <v>0</v>
      </c>
      <c r="AB361" s="72">
        <f t="shared" si="126"/>
        <v>0</v>
      </c>
      <c r="AC361" s="72">
        <f t="shared" si="126"/>
        <v>0</v>
      </c>
      <c r="AD361" s="72">
        <f t="shared" si="126"/>
        <v>0</v>
      </c>
      <c r="AE361" s="72">
        <f t="shared" si="126"/>
        <v>0</v>
      </c>
      <c r="AF361" s="72">
        <f t="shared" si="126"/>
        <v>0</v>
      </c>
    </row>
    <row r="362" spans="1:32" ht="67.5" x14ac:dyDescent="0.2">
      <c r="A362" s="4"/>
      <c r="B362" s="31"/>
      <c r="C362" s="42" t="s">
        <v>77</v>
      </c>
      <c r="D362" s="134" t="s">
        <v>216</v>
      </c>
      <c r="E362" s="32">
        <v>40000</v>
      </c>
      <c r="F362" s="20">
        <v>29000</v>
      </c>
      <c r="G362" s="11">
        <f t="shared" si="115"/>
        <v>0.72499999999999998</v>
      </c>
      <c r="H362" s="20">
        <f>F362/3*4</f>
        <v>38666.666666666664</v>
      </c>
      <c r="I362" s="20">
        <v>40000</v>
      </c>
      <c r="J362" s="11">
        <f t="shared" si="116"/>
        <v>1</v>
      </c>
      <c r="K362" s="24">
        <f>L362+T362+U362+AF362</f>
        <v>40000</v>
      </c>
      <c r="L362" s="19">
        <f>SUM(M362:S362)</f>
        <v>40000</v>
      </c>
      <c r="M362" s="19"/>
      <c r="N362" s="19"/>
      <c r="O362" s="19"/>
      <c r="P362" s="19"/>
      <c r="Q362" s="55">
        <v>40000</v>
      </c>
      <c r="R362" s="19"/>
      <c r="S362" s="19"/>
      <c r="T362" s="19"/>
      <c r="U362" s="19">
        <f>SUM(V362:AE362)</f>
        <v>0</v>
      </c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</row>
    <row r="363" spans="1:32" ht="69.75" customHeight="1" x14ac:dyDescent="0.2">
      <c r="A363" s="4"/>
      <c r="B363" s="31"/>
      <c r="C363" s="42" t="s">
        <v>7</v>
      </c>
      <c r="D363" s="134" t="s">
        <v>252</v>
      </c>
      <c r="E363" s="32">
        <v>20000</v>
      </c>
      <c r="F363" s="20">
        <v>0</v>
      </c>
      <c r="G363" s="11">
        <f t="shared" si="115"/>
        <v>0</v>
      </c>
      <c r="H363" s="20">
        <f t="shared" ref="H363:H373" si="127">F363/3*4</f>
        <v>0</v>
      </c>
      <c r="I363" s="20">
        <v>0</v>
      </c>
      <c r="J363" s="11">
        <f t="shared" si="116"/>
        <v>0</v>
      </c>
      <c r="K363" s="24">
        <f t="shared" ref="K363:K373" si="128">L363+T363+U363+AF363</f>
        <v>25000</v>
      </c>
      <c r="L363" s="19">
        <f t="shared" ref="L363:L373" si="129">SUM(M363:S363)</f>
        <v>25000</v>
      </c>
      <c r="M363" s="19"/>
      <c r="N363" s="19"/>
      <c r="O363" s="19"/>
      <c r="P363" s="19"/>
      <c r="Q363" s="55">
        <v>25000</v>
      </c>
      <c r="R363" s="19"/>
      <c r="S363" s="19"/>
      <c r="T363" s="19"/>
      <c r="U363" s="19">
        <f t="shared" ref="U363:U373" si="130">SUM(V363:AE363)</f>
        <v>0</v>
      </c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</row>
    <row r="364" spans="1:32" x14ac:dyDescent="0.2">
      <c r="A364" s="4"/>
      <c r="B364" s="31"/>
      <c r="C364" s="42" t="s">
        <v>118</v>
      </c>
      <c r="D364" s="134" t="s">
        <v>119</v>
      </c>
      <c r="E364" s="32">
        <v>5500</v>
      </c>
      <c r="F364" s="20">
        <v>2468.8200000000002</v>
      </c>
      <c r="G364" s="11">
        <f t="shared" si="115"/>
        <v>0.44887636363636368</v>
      </c>
      <c r="H364" s="20">
        <f t="shared" si="127"/>
        <v>3291.76</v>
      </c>
      <c r="I364" s="20">
        <v>7000</v>
      </c>
      <c r="J364" s="11">
        <f t="shared" si="116"/>
        <v>1.2727272727272727</v>
      </c>
      <c r="K364" s="24">
        <f t="shared" si="128"/>
        <v>2000</v>
      </c>
      <c r="L364" s="19">
        <f t="shared" si="129"/>
        <v>2000</v>
      </c>
      <c r="M364" s="19"/>
      <c r="N364" s="19"/>
      <c r="O364" s="19"/>
      <c r="P364" s="19"/>
      <c r="Q364" s="55">
        <v>2000</v>
      </c>
      <c r="R364" s="19"/>
      <c r="S364" s="19"/>
      <c r="T364" s="19"/>
      <c r="U364" s="19">
        <f t="shared" si="130"/>
        <v>0</v>
      </c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</row>
    <row r="365" spans="1:32" x14ac:dyDescent="0.2">
      <c r="A365" s="4"/>
      <c r="B365" s="31"/>
      <c r="C365" s="42" t="s">
        <v>120</v>
      </c>
      <c r="D365" s="134" t="s">
        <v>121</v>
      </c>
      <c r="E365" s="32">
        <v>800</v>
      </c>
      <c r="F365" s="20">
        <v>260.93</v>
      </c>
      <c r="G365" s="11">
        <f t="shared" si="115"/>
        <v>0.32616250000000002</v>
      </c>
      <c r="H365" s="20">
        <f t="shared" si="127"/>
        <v>347.90666666666669</v>
      </c>
      <c r="I365" s="20">
        <v>1500</v>
      </c>
      <c r="J365" s="11">
        <f t="shared" si="116"/>
        <v>1.875</v>
      </c>
      <c r="K365" s="24">
        <f t="shared" si="128"/>
        <v>300</v>
      </c>
      <c r="L365" s="19">
        <f t="shared" si="129"/>
        <v>300</v>
      </c>
      <c r="M365" s="19"/>
      <c r="N365" s="19"/>
      <c r="O365" s="19"/>
      <c r="P365" s="19"/>
      <c r="Q365" s="55">
        <v>300</v>
      </c>
      <c r="R365" s="19"/>
      <c r="S365" s="19"/>
      <c r="T365" s="19"/>
      <c r="U365" s="19">
        <f t="shared" si="130"/>
        <v>0</v>
      </c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</row>
    <row r="366" spans="1:32" x14ac:dyDescent="0.2">
      <c r="A366" s="4"/>
      <c r="B366" s="31"/>
      <c r="C366" s="42" t="s">
        <v>128</v>
      </c>
      <c r="D366" s="134" t="s">
        <v>129</v>
      </c>
      <c r="E366" s="32">
        <v>131520</v>
      </c>
      <c r="F366" s="20">
        <v>72469</v>
      </c>
      <c r="G366" s="11">
        <f t="shared" si="115"/>
        <v>0.55101125304136256</v>
      </c>
      <c r="H366" s="20">
        <v>131000</v>
      </c>
      <c r="I366" s="20">
        <v>144520</v>
      </c>
      <c r="J366" s="11">
        <f t="shared" si="116"/>
        <v>1.0988442822384428</v>
      </c>
      <c r="K366" s="24">
        <f t="shared" si="128"/>
        <v>130020</v>
      </c>
      <c r="L366" s="19">
        <f t="shared" si="129"/>
        <v>130020</v>
      </c>
      <c r="M366" s="19"/>
      <c r="N366" s="19"/>
      <c r="O366" s="19"/>
      <c r="P366" s="19"/>
      <c r="Q366" s="55">
        <v>130020</v>
      </c>
      <c r="R366" s="19"/>
      <c r="S366" s="19"/>
      <c r="T366" s="19"/>
      <c r="U366" s="19">
        <f t="shared" si="130"/>
        <v>0</v>
      </c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</row>
    <row r="367" spans="1:32" x14ac:dyDescent="0.2">
      <c r="A367" s="4"/>
      <c r="B367" s="31"/>
      <c r="C367" s="42" t="s">
        <v>122</v>
      </c>
      <c r="D367" s="134" t="s">
        <v>123</v>
      </c>
      <c r="E367" s="32">
        <v>27450</v>
      </c>
      <c r="F367" s="20">
        <v>5848.91</v>
      </c>
      <c r="G367" s="11">
        <f t="shared" si="115"/>
        <v>0.21307504553734061</v>
      </c>
      <c r="H367" s="20">
        <f t="shared" si="127"/>
        <v>7798.5466666666662</v>
      </c>
      <c r="I367" s="20">
        <v>27450</v>
      </c>
      <c r="J367" s="11">
        <f t="shared" si="116"/>
        <v>1</v>
      </c>
      <c r="K367" s="24">
        <f t="shared" si="128"/>
        <v>27450</v>
      </c>
      <c r="L367" s="19">
        <f t="shared" si="129"/>
        <v>27450</v>
      </c>
      <c r="M367" s="19"/>
      <c r="N367" s="19"/>
      <c r="O367" s="19"/>
      <c r="P367" s="19"/>
      <c r="Q367" s="55">
        <v>27450</v>
      </c>
      <c r="R367" s="19"/>
      <c r="S367" s="19"/>
      <c r="T367" s="19"/>
      <c r="U367" s="19">
        <f t="shared" si="130"/>
        <v>0</v>
      </c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</row>
    <row r="368" spans="1:32" x14ac:dyDescent="0.2">
      <c r="A368" s="4"/>
      <c r="B368" s="31"/>
      <c r="C368" s="42" t="s">
        <v>130</v>
      </c>
      <c r="D368" s="134" t="s">
        <v>131</v>
      </c>
      <c r="E368" s="32">
        <v>8000</v>
      </c>
      <c r="F368" s="20">
        <v>6076.58</v>
      </c>
      <c r="G368" s="11">
        <f t="shared" si="115"/>
        <v>0.75957249999999998</v>
      </c>
      <c r="H368" s="20">
        <v>7500</v>
      </c>
      <c r="I368" s="20">
        <v>8000</v>
      </c>
      <c r="J368" s="11">
        <f t="shared" si="116"/>
        <v>1</v>
      </c>
      <c r="K368" s="24">
        <f t="shared" si="128"/>
        <v>8000</v>
      </c>
      <c r="L368" s="19">
        <f t="shared" si="129"/>
        <v>8000</v>
      </c>
      <c r="M368" s="19"/>
      <c r="N368" s="19"/>
      <c r="O368" s="19"/>
      <c r="P368" s="19"/>
      <c r="Q368" s="55">
        <v>8000</v>
      </c>
      <c r="R368" s="19"/>
      <c r="S368" s="19"/>
      <c r="T368" s="19"/>
      <c r="U368" s="19">
        <f t="shared" si="130"/>
        <v>0</v>
      </c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</row>
    <row r="369" spans="1:32" x14ac:dyDescent="0.2">
      <c r="A369" s="4"/>
      <c r="B369" s="31"/>
      <c r="C369" s="42" t="s">
        <v>140</v>
      </c>
      <c r="D369" s="134" t="s">
        <v>141</v>
      </c>
      <c r="E369" s="32">
        <v>2000</v>
      </c>
      <c r="F369" s="20">
        <v>0</v>
      </c>
      <c r="G369" s="11">
        <f t="shared" si="115"/>
        <v>0</v>
      </c>
      <c r="H369" s="20">
        <f t="shared" si="127"/>
        <v>0</v>
      </c>
      <c r="I369" s="20">
        <v>2000</v>
      </c>
      <c r="J369" s="11">
        <f t="shared" si="116"/>
        <v>1</v>
      </c>
      <c r="K369" s="24">
        <f t="shared" si="128"/>
        <v>2000</v>
      </c>
      <c r="L369" s="19">
        <f t="shared" si="129"/>
        <v>2000</v>
      </c>
      <c r="M369" s="19"/>
      <c r="N369" s="19"/>
      <c r="O369" s="19"/>
      <c r="P369" s="19"/>
      <c r="Q369" s="55">
        <v>2000</v>
      </c>
      <c r="R369" s="19"/>
      <c r="S369" s="19"/>
      <c r="T369" s="19"/>
      <c r="U369" s="19">
        <f t="shared" si="130"/>
        <v>0</v>
      </c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</row>
    <row r="370" spans="1:32" x14ac:dyDescent="0.2">
      <c r="A370" s="4"/>
      <c r="B370" s="31"/>
      <c r="C370" s="42" t="s">
        <v>124</v>
      </c>
      <c r="D370" s="134" t="s">
        <v>125</v>
      </c>
      <c r="E370" s="32">
        <v>126500</v>
      </c>
      <c r="F370" s="20">
        <v>44785.81</v>
      </c>
      <c r="G370" s="11">
        <f t="shared" si="115"/>
        <v>0.35403802371541498</v>
      </c>
      <c r="H370" s="20">
        <f t="shared" si="127"/>
        <v>59714.41333333333</v>
      </c>
      <c r="I370" s="20">
        <v>124300</v>
      </c>
      <c r="J370" s="11">
        <f t="shared" si="116"/>
        <v>0.9826086956521739</v>
      </c>
      <c r="K370" s="24">
        <f t="shared" si="128"/>
        <v>127000</v>
      </c>
      <c r="L370" s="19">
        <f t="shared" si="129"/>
        <v>127000</v>
      </c>
      <c r="M370" s="19"/>
      <c r="N370" s="19"/>
      <c r="O370" s="19"/>
      <c r="P370" s="19"/>
      <c r="Q370" s="55">
        <v>127000</v>
      </c>
      <c r="R370" s="19"/>
      <c r="S370" s="19"/>
      <c r="T370" s="19"/>
      <c r="U370" s="19">
        <f t="shared" si="130"/>
        <v>0</v>
      </c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</row>
    <row r="371" spans="1:32" ht="22.5" x14ac:dyDescent="0.2">
      <c r="A371" s="4"/>
      <c r="B371" s="31"/>
      <c r="C371" s="42" t="s">
        <v>147</v>
      </c>
      <c r="D371" s="134" t="s">
        <v>148</v>
      </c>
      <c r="E371" s="32">
        <v>2500</v>
      </c>
      <c r="F371" s="20">
        <v>1476.6</v>
      </c>
      <c r="G371" s="11">
        <f t="shared" si="115"/>
        <v>0.59063999999999994</v>
      </c>
      <c r="H371" s="20">
        <f t="shared" si="127"/>
        <v>1968.8</v>
      </c>
      <c r="I371" s="20">
        <v>2500</v>
      </c>
      <c r="J371" s="11">
        <f t="shared" si="116"/>
        <v>1</v>
      </c>
      <c r="K371" s="24">
        <f t="shared" si="128"/>
        <v>2500</v>
      </c>
      <c r="L371" s="19">
        <f t="shared" si="129"/>
        <v>2500</v>
      </c>
      <c r="M371" s="19"/>
      <c r="N371" s="19"/>
      <c r="O371" s="19"/>
      <c r="P371" s="19"/>
      <c r="Q371" s="55">
        <v>2500</v>
      </c>
      <c r="R371" s="19"/>
      <c r="S371" s="19"/>
      <c r="T371" s="19"/>
      <c r="U371" s="19">
        <f t="shared" si="130"/>
        <v>0</v>
      </c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</row>
    <row r="372" spans="1:32" x14ac:dyDescent="0.2">
      <c r="A372" s="4"/>
      <c r="B372" s="31"/>
      <c r="C372" s="42" t="s">
        <v>191</v>
      </c>
      <c r="D372" s="134" t="s">
        <v>192</v>
      </c>
      <c r="E372" s="32">
        <v>730</v>
      </c>
      <c r="F372" s="20">
        <v>56.84</v>
      </c>
      <c r="G372" s="11">
        <f t="shared" si="115"/>
        <v>7.7863013698630149E-2</v>
      </c>
      <c r="H372" s="20">
        <f t="shared" si="127"/>
        <v>75.786666666666676</v>
      </c>
      <c r="I372" s="20">
        <v>730</v>
      </c>
      <c r="J372" s="11">
        <f t="shared" si="116"/>
        <v>1</v>
      </c>
      <c r="K372" s="24">
        <f t="shared" si="128"/>
        <v>730</v>
      </c>
      <c r="L372" s="19">
        <f t="shared" si="129"/>
        <v>730</v>
      </c>
      <c r="M372" s="19"/>
      <c r="N372" s="19"/>
      <c r="O372" s="19"/>
      <c r="P372" s="19"/>
      <c r="Q372" s="55">
        <v>730</v>
      </c>
      <c r="R372" s="19"/>
      <c r="S372" s="19"/>
      <c r="T372" s="19"/>
      <c r="U372" s="19">
        <f t="shared" si="130"/>
        <v>0</v>
      </c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</row>
    <row r="373" spans="1:32" x14ac:dyDescent="0.2">
      <c r="A373" s="4"/>
      <c r="B373" s="31"/>
      <c r="C373" s="42" t="s">
        <v>126</v>
      </c>
      <c r="D373" s="134" t="s">
        <v>127</v>
      </c>
      <c r="E373" s="32">
        <v>4000</v>
      </c>
      <c r="F373" s="20">
        <v>1662.62</v>
      </c>
      <c r="G373" s="11">
        <f t="shared" si="115"/>
        <v>0.415655</v>
      </c>
      <c r="H373" s="20">
        <f t="shared" si="127"/>
        <v>2216.8266666666664</v>
      </c>
      <c r="I373" s="20">
        <v>4000</v>
      </c>
      <c r="J373" s="11">
        <f t="shared" si="116"/>
        <v>1</v>
      </c>
      <c r="K373" s="24">
        <f t="shared" si="128"/>
        <v>4000</v>
      </c>
      <c r="L373" s="19">
        <f t="shared" si="129"/>
        <v>4000</v>
      </c>
      <c r="M373" s="19"/>
      <c r="N373" s="19"/>
      <c r="O373" s="19"/>
      <c r="P373" s="19"/>
      <c r="Q373" s="55">
        <v>4000</v>
      </c>
      <c r="R373" s="19"/>
      <c r="S373" s="19"/>
      <c r="T373" s="19"/>
      <c r="U373" s="19">
        <f t="shared" si="130"/>
        <v>0</v>
      </c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</row>
    <row r="374" spans="1:32" ht="15.75" x14ac:dyDescent="0.2">
      <c r="A374" s="3"/>
      <c r="B374" s="165" t="s">
        <v>278</v>
      </c>
      <c r="C374" s="166"/>
      <c r="D374" s="167" t="s">
        <v>10</v>
      </c>
      <c r="E374" s="168">
        <f>E375+E379+E380+E376+E377+E378</f>
        <v>17000</v>
      </c>
      <c r="F374" s="168">
        <f>F375+F379+F380+F376+F377+F378</f>
        <v>14955.27</v>
      </c>
      <c r="G374" s="170">
        <f t="shared" si="115"/>
        <v>0.87972176470588237</v>
      </c>
      <c r="H374" s="171">
        <f>H375+H379+H380</f>
        <v>10000</v>
      </c>
      <c r="I374" s="171">
        <f>I375+I379+I380</f>
        <v>12000</v>
      </c>
      <c r="J374" s="170">
        <f t="shared" si="116"/>
        <v>0.70588235294117652</v>
      </c>
      <c r="K374" s="112" t="e">
        <f>K375+K379+K380+#REF!</f>
        <v>#REF!</v>
      </c>
      <c r="L374" s="72" t="e">
        <f>L375+L379+L380+#REF!</f>
        <v>#REF!</v>
      </c>
      <c r="M374" s="72" t="e">
        <f>M375+M379+M380+#REF!</f>
        <v>#REF!</v>
      </c>
      <c r="N374" s="72" t="e">
        <f>N375+N379+N380+#REF!</f>
        <v>#REF!</v>
      </c>
      <c r="O374" s="72"/>
      <c r="P374" s="72" t="e">
        <f>P375+P379+P380+#REF!</f>
        <v>#REF!</v>
      </c>
      <c r="Q374" s="72" t="e">
        <f>Q375+Q379+Q380+#REF!</f>
        <v>#REF!</v>
      </c>
      <c r="R374" s="72" t="e">
        <f>R375+R379+R380+#REF!</f>
        <v>#REF!</v>
      </c>
      <c r="S374" s="73" t="e">
        <f>S375+S379+S380+#REF!</f>
        <v>#REF!</v>
      </c>
      <c r="T374" s="72" t="e">
        <f>T375+T379+T380+#REF!</f>
        <v>#REF!</v>
      </c>
      <c r="U374" s="72" t="e">
        <f>U375+U379+U380+#REF!</f>
        <v>#REF!</v>
      </c>
      <c r="V374" s="72" t="e">
        <f>V375+V379+V380+#REF!</f>
        <v>#REF!</v>
      </c>
      <c r="W374" s="72" t="e">
        <f>W375+W379+W380+#REF!</f>
        <v>#REF!</v>
      </c>
      <c r="X374" s="72" t="e">
        <f>X375+X379+X380+#REF!</f>
        <v>#REF!</v>
      </c>
      <c r="Y374" s="72" t="e">
        <f>Y375+Y379+Y380+#REF!</f>
        <v>#REF!</v>
      </c>
      <c r="Z374" s="72" t="e">
        <f>Z375+Z379+Z380+#REF!</f>
        <v>#REF!</v>
      </c>
      <c r="AA374" s="72" t="e">
        <f>AA375+AA379+AA380+#REF!</f>
        <v>#REF!</v>
      </c>
      <c r="AB374" s="72" t="e">
        <f>AB375+AB379+AB380+#REF!</f>
        <v>#REF!</v>
      </c>
      <c r="AC374" s="72" t="e">
        <f>AC375+AC379+AC380+#REF!</f>
        <v>#REF!</v>
      </c>
      <c r="AD374" s="72" t="e">
        <f>AD375+AD379+AD380+#REF!</f>
        <v>#REF!</v>
      </c>
      <c r="AE374" s="72" t="e">
        <f>AE375+AE379+AE380+#REF!</f>
        <v>#REF!</v>
      </c>
      <c r="AF374" s="72" t="e">
        <f>AF375+AF379+AF380+#REF!</f>
        <v>#REF!</v>
      </c>
    </row>
    <row r="375" spans="1:32" ht="67.5" x14ac:dyDescent="0.2">
      <c r="A375" s="4"/>
      <c r="B375" s="31"/>
      <c r="C375" s="42" t="s">
        <v>77</v>
      </c>
      <c r="D375" s="134" t="s">
        <v>216</v>
      </c>
      <c r="E375" s="32">
        <v>10000</v>
      </c>
      <c r="F375" s="20">
        <v>10000</v>
      </c>
      <c r="G375" s="11">
        <f t="shared" si="115"/>
        <v>1</v>
      </c>
      <c r="H375" s="20">
        <v>10000</v>
      </c>
      <c r="I375" s="20">
        <v>10000</v>
      </c>
      <c r="J375" s="11">
        <f t="shared" si="116"/>
        <v>1</v>
      </c>
      <c r="K375" s="24">
        <f>L375+T375+U375+AF375</f>
        <v>10000</v>
      </c>
      <c r="L375" s="19">
        <f>SUM(M375:S375)</f>
        <v>10000</v>
      </c>
      <c r="M375" s="19"/>
      <c r="N375" s="19"/>
      <c r="O375" s="19"/>
      <c r="P375" s="99">
        <v>10000</v>
      </c>
      <c r="Q375" s="19"/>
      <c r="R375" s="19"/>
      <c r="S375" s="19"/>
      <c r="T375" s="19"/>
      <c r="U375" s="19">
        <f>SUM(V375:AE375)</f>
        <v>0</v>
      </c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</row>
    <row r="376" spans="1:32" x14ac:dyDescent="0.2">
      <c r="A376" s="4"/>
      <c r="B376" s="31"/>
      <c r="C376" s="33" t="s">
        <v>116</v>
      </c>
      <c r="D376" s="34" t="s">
        <v>117</v>
      </c>
      <c r="E376" s="32">
        <v>4178.16</v>
      </c>
      <c r="F376" s="20">
        <v>4162.08</v>
      </c>
      <c r="G376" s="11">
        <f t="shared" si="115"/>
        <v>0.99615141593428691</v>
      </c>
      <c r="H376" s="20">
        <f>F376/3*4</f>
        <v>5549.44</v>
      </c>
      <c r="I376" s="20">
        <v>0</v>
      </c>
      <c r="J376" s="11">
        <f t="shared" si="116"/>
        <v>0</v>
      </c>
      <c r="K376" s="24"/>
      <c r="L376" s="19"/>
      <c r="M376" s="19"/>
      <c r="N376" s="19"/>
      <c r="O376" s="19"/>
      <c r="P376" s="9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</row>
    <row r="377" spans="1:32" x14ac:dyDescent="0.2">
      <c r="A377" s="4"/>
      <c r="B377" s="31"/>
      <c r="C377" s="33" t="s">
        <v>118</v>
      </c>
      <c r="D377" s="34" t="s">
        <v>384</v>
      </c>
      <c r="E377" s="32">
        <v>719.48</v>
      </c>
      <c r="F377" s="20">
        <v>716.69</v>
      </c>
      <c r="G377" s="11">
        <f t="shared" si="115"/>
        <v>0.99612219936620894</v>
      </c>
      <c r="H377" s="20">
        <f t="shared" ref="H377:H380" si="131">F377/3*4</f>
        <v>955.5866666666667</v>
      </c>
      <c r="I377" s="20">
        <v>0</v>
      </c>
      <c r="J377" s="11">
        <f t="shared" si="116"/>
        <v>0</v>
      </c>
      <c r="K377" s="24"/>
      <c r="L377" s="19"/>
      <c r="M377" s="19"/>
      <c r="N377" s="19"/>
      <c r="O377" s="19"/>
      <c r="P377" s="9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</row>
    <row r="378" spans="1:32" ht="22.5" x14ac:dyDescent="0.2">
      <c r="A378" s="4"/>
      <c r="B378" s="31"/>
      <c r="C378" s="33" t="s">
        <v>120</v>
      </c>
      <c r="D378" s="34" t="s">
        <v>385</v>
      </c>
      <c r="E378" s="32">
        <v>102.36</v>
      </c>
      <c r="F378" s="20">
        <v>76.5</v>
      </c>
      <c r="G378" s="11">
        <f t="shared" si="115"/>
        <v>0.74736225087924968</v>
      </c>
      <c r="H378" s="20">
        <f t="shared" si="131"/>
        <v>102</v>
      </c>
      <c r="I378" s="20">
        <v>0</v>
      </c>
      <c r="J378" s="11">
        <f t="shared" si="116"/>
        <v>0</v>
      </c>
      <c r="K378" s="24"/>
      <c r="L378" s="19"/>
      <c r="M378" s="19"/>
      <c r="N378" s="19"/>
      <c r="O378" s="19"/>
      <c r="P378" s="9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</row>
    <row r="379" spans="1:32" x14ac:dyDescent="0.2">
      <c r="A379" s="4"/>
      <c r="B379" s="31"/>
      <c r="C379" s="42" t="s">
        <v>122</v>
      </c>
      <c r="D379" s="134" t="s">
        <v>123</v>
      </c>
      <c r="E379" s="32">
        <v>1050</v>
      </c>
      <c r="F379" s="20">
        <v>0</v>
      </c>
      <c r="G379" s="11">
        <f t="shared" si="115"/>
        <v>0</v>
      </c>
      <c r="H379" s="20">
        <f t="shared" si="131"/>
        <v>0</v>
      </c>
      <c r="I379" s="20">
        <v>1050</v>
      </c>
      <c r="J379" s="11">
        <f t="shared" si="116"/>
        <v>1</v>
      </c>
      <c r="K379" s="24">
        <f t="shared" ref="K379:K380" si="132">L379+T379+U379+AF379</f>
        <v>1050</v>
      </c>
      <c r="L379" s="19">
        <f>SUM(M379:S379)</f>
        <v>1050</v>
      </c>
      <c r="M379" s="19"/>
      <c r="N379" s="19"/>
      <c r="O379" s="19"/>
      <c r="P379" s="55">
        <v>1050</v>
      </c>
      <c r="Q379" s="19"/>
      <c r="R379" s="19"/>
      <c r="S379" s="19"/>
      <c r="T379" s="19"/>
      <c r="U379" s="19">
        <f>SUM(V379:AE379)</f>
        <v>0</v>
      </c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</row>
    <row r="380" spans="1:32" x14ac:dyDescent="0.2">
      <c r="A380" s="4"/>
      <c r="B380" s="31"/>
      <c r="C380" s="42" t="s">
        <v>124</v>
      </c>
      <c r="D380" s="134" t="s">
        <v>125</v>
      </c>
      <c r="E380" s="32">
        <v>950</v>
      </c>
      <c r="F380" s="20">
        <v>0</v>
      </c>
      <c r="G380" s="11">
        <f t="shared" si="115"/>
        <v>0</v>
      </c>
      <c r="H380" s="20">
        <f t="shared" si="131"/>
        <v>0</v>
      </c>
      <c r="I380" s="20">
        <v>950</v>
      </c>
      <c r="J380" s="11">
        <f t="shared" si="116"/>
        <v>1</v>
      </c>
      <c r="K380" s="24">
        <f t="shared" si="132"/>
        <v>950</v>
      </c>
      <c r="L380" s="19">
        <f>SUM(M380:S380)</f>
        <v>950</v>
      </c>
      <c r="M380" s="19"/>
      <c r="N380" s="19"/>
      <c r="O380" s="19"/>
      <c r="P380" s="55">
        <v>950</v>
      </c>
      <c r="Q380" s="19"/>
      <c r="R380" s="19"/>
      <c r="S380" s="19"/>
      <c r="T380" s="19"/>
      <c r="U380" s="19">
        <f>SUM(V380:AE380)</f>
        <v>0</v>
      </c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</row>
    <row r="381" spans="1:32" ht="23.25" customHeight="1" x14ac:dyDescent="0.2">
      <c r="A381" s="155" t="s">
        <v>60</v>
      </c>
      <c r="B381" s="156"/>
      <c r="C381" s="157"/>
      <c r="D381" s="158" t="s">
        <v>61</v>
      </c>
      <c r="E381" s="159">
        <f>E382+E384+E400+E403+E406+E409+E412+E415+E435+E440+E442+E444</f>
        <v>5759877</v>
      </c>
      <c r="F381" s="135">
        <f>F382+F384+F400+F403+F406+F409+F412+F415+F435+F440+F442+F444</f>
        <v>3897778.03</v>
      </c>
      <c r="G381" s="87">
        <f t="shared" si="115"/>
        <v>0.67671202527415075</v>
      </c>
      <c r="H381" s="135">
        <f>H382+H384+H400+H403+H406+H409+H412+H415+H435+H440+H442+H444</f>
        <v>5015195.2533333329</v>
      </c>
      <c r="I381" s="135">
        <f>I382+I384+I400+I403+I406+I409+I412+I415+I435+I440+I442+I444</f>
        <v>5494572</v>
      </c>
      <c r="J381" s="87">
        <f t="shared" si="116"/>
        <v>0.95393912057497066</v>
      </c>
      <c r="K381" s="108" t="e">
        <f>K382+K384+K400+K403+K406+K409+K412+K415+K435+K440+K442+K444</f>
        <v>#REF!</v>
      </c>
      <c r="L381" s="12" t="e">
        <f>L382+L384+L400+L403+L406+L409+L412+L415+L435+L440+L442+L444</f>
        <v>#REF!</v>
      </c>
      <c r="M381" s="12" t="e">
        <f>M382+M384+M400+M403+M406+M409+M412+M415+M435+M440+M442+M444</f>
        <v>#REF!</v>
      </c>
      <c r="N381" s="12" t="e">
        <f>N382+N384+N400+N403+N406+N409+N412+N415+N435+N440+N442+N444</f>
        <v>#REF!</v>
      </c>
      <c r="O381" s="12"/>
      <c r="P381" s="12" t="e">
        <f t="shared" ref="P381:AF381" si="133">P382+P384+P400+P403+P406+P409+P412+P415+P435+P440+P442+P444</f>
        <v>#REF!</v>
      </c>
      <c r="Q381" s="12" t="e">
        <f t="shared" si="133"/>
        <v>#REF!</v>
      </c>
      <c r="R381" s="12" t="e">
        <f t="shared" si="133"/>
        <v>#REF!</v>
      </c>
      <c r="S381" s="16" t="e">
        <f t="shared" si="133"/>
        <v>#REF!</v>
      </c>
      <c r="T381" s="12" t="e">
        <f t="shared" si="133"/>
        <v>#REF!</v>
      </c>
      <c r="U381" s="12" t="e">
        <f t="shared" si="133"/>
        <v>#REF!</v>
      </c>
      <c r="V381" s="12" t="e">
        <f t="shared" si="133"/>
        <v>#REF!</v>
      </c>
      <c r="W381" s="12" t="e">
        <f t="shared" si="133"/>
        <v>#REF!</v>
      </c>
      <c r="X381" s="12" t="e">
        <f t="shared" si="133"/>
        <v>#REF!</v>
      </c>
      <c r="Y381" s="12" t="e">
        <f t="shared" si="133"/>
        <v>#REF!</v>
      </c>
      <c r="Z381" s="12" t="e">
        <f t="shared" si="133"/>
        <v>#REF!</v>
      </c>
      <c r="AA381" s="12" t="e">
        <f t="shared" si="133"/>
        <v>#REF!</v>
      </c>
      <c r="AB381" s="12" t="e">
        <f t="shared" si="133"/>
        <v>#REF!</v>
      </c>
      <c r="AC381" s="12" t="e">
        <f t="shared" si="133"/>
        <v>#REF!</v>
      </c>
      <c r="AD381" s="12" t="e">
        <f t="shared" si="133"/>
        <v>#REF!</v>
      </c>
      <c r="AE381" s="12" t="e">
        <f t="shared" si="133"/>
        <v>#REF!</v>
      </c>
      <c r="AF381" s="12" t="e">
        <f t="shared" si="133"/>
        <v>#REF!</v>
      </c>
    </row>
    <row r="382" spans="1:32" ht="15.75" x14ac:dyDescent="0.2">
      <c r="A382" s="3"/>
      <c r="B382" s="165" t="s">
        <v>279</v>
      </c>
      <c r="C382" s="166"/>
      <c r="D382" s="167" t="s">
        <v>280</v>
      </c>
      <c r="E382" s="168">
        <f>E383</f>
        <v>702250</v>
      </c>
      <c r="F382" s="171">
        <f t="shared" ref="F382:AF382" si="134">F383</f>
        <v>566023.26</v>
      </c>
      <c r="G382" s="170">
        <f t="shared" si="115"/>
        <v>0.80601389818440727</v>
      </c>
      <c r="H382" s="171">
        <f t="shared" si="134"/>
        <v>702250</v>
      </c>
      <c r="I382" s="171">
        <f t="shared" si="134"/>
        <v>800950</v>
      </c>
      <c r="J382" s="170">
        <f t="shared" si="116"/>
        <v>1.1405482378070488</v>
      </c>
      <c r="K382" s="112">
        <f t="shared" si="134"/>
        <v>702250</v>
      </c>
      <c r="L382" s="72">
        <f t="shared" si="134"/>
        <v>0</v>
      </c>
      <c r="M382" s="72">
        <f t="shared" si="134"/>
        <v>0</v>
      </c>
      <c r="N382" s="72">
        <f t="shared" si="134"/>
        <v>0</v>
      </c>
      <c r="O382" s="72"/>
      <c r="P382" s="72">
        <f t="shared" si="134"/>
        <v>0</v>
      </c>
      <c r="Q382" s="72">
        <f t="shared" si="134"/>
        <v>0</v>
      </c>
      <c r="R382" s="72">
        <f t="shared" si="134"/>
        <v>0</v>
      </c>
      <c r="S382" s="73">
        <f>S383</f>
        <v>0</v>
      </c>
      <c r="T382" s="72">
        <f t="shared" si="134"/>
        <v>702250</v>
      </c>
      <c r="U382" s="72">
        <f t="shared" si="134"/>
        <v>0</v>
      </c>
      <c r="V382" s="72">
        <f t="shared" si="134"/>
        <v>0</v>
      </c>
      <c r="W382" s="72">
        <f t="shared" si="134"/>
        <v>0</v>
      </c>
      <c r="X382" s="72">
        <f t="shared" si="134"/>
        <v>0</v>
      </c>
      <c r="Y382" s="72">
        <f t="shared" si="134"/>
        <v>0</v>
      </c>
      <c r="Z382" s="72">
        <f t="shared" si="134"/>
        <v>0</v>
      </c>
      <c r="AA382" s="72">
        <f t="shared" si="134"/>
        <v>0</v>
      </c>
      <c r="AB382" s="72">
        <f t="shared" si="134"/>
        <v>0</v>
      </c>
      <c r="AC382" s="72">
        <f t="shared" si="134"/>
        <v>0</v>
      </c>
      <c r="AD382" s="72">
        <f t="shared" si="134"/>
        <v>0</v>
      </c>
      <c r="AE382" s="72">
        <f t="shared" si="134"/>
        <v>0</v>
      </c>
      <c r="AF382" s="72">
        <f t="shared" si="134"/>
        <v>0</v>
      </c>
    </row>
    <row r="383" spans="1:32" ht="33.75" x14ac:dyDescent="0.2">
      <c r="A383" s="4"/>
      <c r="B383" s="31"/>
      <c r="C383" s="42" t="s">
        <v>233</v>
      </c>
      <c r="D383" s="134" t="s">
        <v>234</v>
      </c>
      <c r="E383" s="32">
        <v>702250</v>
      </c>
      <c r="F383" s="20">
        <v>566023.26</v>
      </c>
      <c r="G383" s="11">
        <f t="shared" si="115"/>
        <v>0.80601389818440727</v>
      </c>
      <c r="H383" s="20">
        <v>702250</v>
      </c>
      <c r="I383" s="20">
        <v>800950</v>
      </c>
      <c r="J383" s="11">
        <f t="shared" si="116"/>
        <v>1.1405482378070488</v>
      </c>
      <c r="K383" s="24">
        <f>L383+T383+U383+AF383</f>
        <v>702250</v>
      </c>
      <c r="L383" s="19">
        <f>SUM(M383:S383)</f>
        <v>0</v>
      </c>
      <c r="M383" s="19"/>
      <c r="N383" s="19"/>
      <c r="O383" s="19"/>
      <c r="P383" s="19"/>
      <c r="Q383" s="19"/>
      <c r="R383" s="19"/>
      <c r="S383" s="9"/>
      <c r="T383" s="101">
        <v>702250</v>
      </c>
      <c r="U383" s="19">
        <f>SUM(V383:AE383)</f>
        <v>0</v>
      </c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5.75" x14ac:dyDescent="0.2">
      <c r="A384" s="3"/>
      <c r="B384" s="165" t="s">
        <v>62</v>
      </c>
      <c r="C384" s="166"/>
      <c r="D384" s="167" t="s">
        <v>63</v>
      </c>
      <c r="E384" s="168">
        <f>E385+E386+E387+E388+E389+E390+E391+E392+E393+E394+E395+E396+E397+E398+E399</f>
        <v>689959</v>
      </c>
      <c r="F384" s="168">
        <f>F385+F386+F387+F388+F389+F390+F391+F392+F393+F394+F395+F396+F397+F398+F399</f>
        <v>406925.88999999996</v>
      </c>
      <c r="G384" s="169">
        <f>F384/E384</f>
        <v>0.58978271172634888</v>
      </c>
      <c r="H384" s="168">
        <f>H385+H386+H387+H388+H389+H390+H391+H392+H393+H394+H395+H396+H397+H398+H399</f>
        <v>631581.84000000008</v>
      </c>
      <c r="I384" s="168">
        <f>I385+I386+I387+I388+I389+I390+I391+I392+I393+I394+I395+I396+I397+I398+I399</f>
        <v>706608</v>
      </c>
      <c r="J384" s="169">
        <f>I384/E384</f>
        <v>1.0241304193437581</v>
      </c>
      <c r="K384" s="127" t="e">
        <f>K386+K388+K389+K390+K391+K392+K394+#REF!+K387+K385+K395+K397+K396+K393+#REF!+K398</f>
        <v>#REF!</v>
      </c>
      <c r="L384" s="77" t="e">
        <f>L386+L388+L389+L390+L391+L392+L394+#REF!+L387+L395+L396+L397+L385</f>
        <v>#REF!</v>
      </c>
      <c r="M384" s="77" t="e">
        <f>M386+M388+M389+M390+M391+M392+M394+#REF!+M387</f>
        <v>#REF!</v>
      </c>
      <c r="N384" s="77" t="e">
        <f>N386+N388+N389+N390+N391+N392+N394+#REF!+N387</f>
        <v>#REF!</v>
      </c>
      <c r="O384" s="77"/>
      <c r="P384" s="77" t="e">
        <f>P386+P388+P389+P390+P391+P392+P394+#REF!+P387</f>
        <v>#REF!</v>
      </c>
      <c r="Q384" s="77" t="e">
        <f>Q386+Q387+Q388+Q389+Q390+Q391+Q392+Q394+Q395+Q396+Q397+#REF!+Q385</f>
        <v>#REF!</v>
      </c>
      <c r="R384" s="77" t="e">
        <f>R386+R388+R389+R390+R391+R392+R394+#REF!+R387</f>
        <v>#REF!</v>
      </c>
      <c r="S384" s="77" t="e">
        <f>S386+S388+S389+S390+S391+S392+S394+#REF!+S387</f>
        <v>#REF!</v>
      </c>
      <c r="T384" s="77" t="e">
        <f>T386+T388+T389+T390+T391+T392+T394+#REF!+T387</f>
        <v>#REF!</v>
      </c>
      <c r="U384" s="77" t="e">
        <f>U386+U388+U389+U390+U391+U392+U394+#REF!+U387</f>
        <v>#REF!</v>
      </c>
      <c r="V384" s="77" t="e">
        <f>V386+V388+V389+V390+V391+V392+V394+#REF!+V387</f>
        <v>#REF!</v>
      </c>
      <c r="W384" s="77" t="e">
        <f>W386+W388+W389+W390+W391+W392+W394+#REF!+W387</f>
        <v>#REF!</v>
      </c>
      <c r="X384" s="77" t="e">
        <f>X386+X388+X389+X390+X391+X392+X394+#REF!+X387</f>
        <v>#REF!</v>
      </c>
      <c r="Y384" s="77" t="e">
        <f>Y386+Y388+Y389+Y390+Y391+Y392+Y394+#REF!+Y387</f>
        <v>#REF!</v>
      </c>
      <c r="Z384" s="77" t="e">
        <f>Z386+Z388+Z389+Z390+Z391+Z392+Z394+#REF!+Z387</f>
        <v>#REF!</v>
      </c>
      <c r="AA384" s="77" t="e">
        <f>AA386+AA388+AA389+AA390+AA391+AA392+AA394+#REF!+AA387</f>
        <v>#REF!</v>
      </c>
      <c r="AB384" s="77" t="e">
        <f>AB386+AB388+AB389+AB390+AB391+AB392+AB394+#REF!+AB387</f>
        <v>#REF!</v>
      </c>
      <c r="AC384" s="77" t="e">
        <f>AC386+AC388+AC389+AC390+AC391+AC392+AC394+#REF!+AC387</f>
        <v>#REF!</v>
      </c>
      <c r="AD384" s="77" t="e">
        <f>AD386+AD388+AD389+AD390+AD391+AD392+AD394+#REF!+AD387</f>
        <v>#REF!</v>
      </c>
      <c r="AE384" s="77" t="e">
        <f>AE386+AE388+AE389+AE390+AE391+AE392+AE394+#REF!+AE387</f>
        <v>#REF!</v>
      </c>
      <c r="AF384" s="77" t="e">
        <f>AF386+AF388+AF389+AF390+AF391+AF392+AF394+#REF!+AF387+AF398+AF397+AF396+AF395+AF385+AF393</f>
        <v>#REF!</v>
      </c>
    </row>
    <row r="385" spans="1:32" s="44" customFormat="1" ht="22.5" x14ac:dyDescent="0.2">
      <c r="A385" s="43"/>
      <c r="B385" s="118"/>
      <c r="C385" s="137" t="s">
        <v>171</v>
      </c>
      <c r="D385" s="134" t="s">
        <v>172</v>
      </c>
      <c r="E385" s="45">
        <v>2000</v>
      </c>
      <c r="F385" s="45">
        <v>0</v>
      </c>
      <c r="G385" s="46">
        <v>0</v>
      </c>
      <c r="H385" s="45">
        <f>F385/3*4</f>
        <v>0</v>
      </c>
      <c r="I385" s="20">
        <v>2000</v>
      </c>
      <c r="J385" s="45">
        <v>0</v>
      </c>
      <c r="K385" s="51">
        <f>L385+T385+U385+AF385</f>
        <v>2000</v>
      </c>
      <c r="L385" s="45">
        <f>SUM(M385:S385)</f>
        <v>0</v>
      </c>
      <c r="M385" s="45"/>
      <c r="N385" s="45"/>
      <c r="O385" s="45"/>
      <c r="P385" s="45"/>
      <c r="Q385" s="58">
        <v>0</v>
      </c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58">
        <v>2000</v>
      </c>
    </row>
    <row r="386" spans="1:32" x14ac:dyDescent="0.2">
      <c r="A386" s="4"/>
      <c r="B386" s="31"/>
      <c r="C386" s="42" t="s">
        <v>116</v>
      </c>
      <c r="D386" s="134" t="s">
        <v>117</v>
      </c>
      <c r="E386" s="32">
        <v>350660</v>
      </c>
      <c r="F386" s="20">
        <v>234835.4</v>
      </c>
      <c r="G386" s="11">
        <f t="shared" si="115"/>
        <v>0.66969543147208122</v>
      </c>
      <c r="H386" s="45">
        <v>350000</v>
      </c>
      <c r="I386" s="20">
        <v>362927</v>
      </c>
      <c r="J386" s="11">
        <f t="shared" si="116"/>
        <v>1.0349826042320196</v>
      </c>
      <c r="K386" s="51">
        <f t="shared" ref="K386:K398" si="135">L386+T386+U386+AF386</f>
        <v>350660</v>
      </c>
      <c r="L386" s="19">
        <f>SUM(M386:S386)</f>
        <v>0</v>
      </c>
      <c r="M386" s="19"/>
      <c r="N386" s="19"/>
      <c r="O386" s="19"/>
      <c r="P386" s="19"/>
      <c r="Q386" s="21">
        <v>0</v>
      </c>
      <c r="R386" s="19"/>
      <c r="S386" s="19"/>
      <c r="T386" s="19"/>
      <c r="U386" s="19">
        <f>SUM(V386:AE386)</f>
        <v>0</v>
      </c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55">
        <v>350660</v>
      </c>
    </row>
    <row r="387" spans="1:32" x14ac:dyDescent="0.2">
      <c r="A387" s="4"/>
      <c r="B387" s="31"/>
      <c r="C387" s="33" t="s">
        <v>173</v>
      </c>
      <c r="D387" s="34" t="s">
        <v>174</v>
      </c>
      <c r="E387" s="32">
        <v>20000</v>
      </c>
      <c r="F387" s="20">
        <v>17462.73</v>
      </c>
      <c r="G387" s="11">
        <f>F387/E387</f>
        <v>0.87313649999999998</v>
      </c>
      <c r="H387" s="45">
        <v>20000</v>
      </c>
      <c r="I387" s="20">
        <v>25838</v>
      </c>
      <c r="J387" s="11">
        <v>0</v>
      </c>
      <c r="K387" s="51">
        <f t="shared" si="135"/>
        <v>20000</v>
      </c>
      <c r="L387" s="19">
        <f>SUM(M387:S387)</f>
        <v>0</v>
      </c>
      <c r="M387" s="19"/>
      <c r="N387" s="19"/>
      <c r="O387" s="19"/>
      <c r="P387" s="19"/>
      <c r="Q387" s="21">
        <v>0</v>
      </c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55">
        <v>20000</v>
      </c>
    </row>
    <row r="388" spans="1:32" x14ac:dyDescent="0.2">
      <c r="A388" s="4"/>
      <c r="B388" s="31"/>
      <c r="C388" s="42" t="s">
        <v>118</v>
      </c>
      <c r="D388" s="134" t="s">
        <v>119</v>
      </c>
      <c r="E388" s="32">
        <v>64060</v>
      </c>
      <c r="F388" s="20">
        <v>37339.769999999997</v>
      </c>
      <c r="G388" s="11">
        <f t="shared" si="115"/>
        <v>0.58288744926631275</v>
      </c>
      <c r="H388" s="45">
        <f t="shared" ref="H388:H399" si="136">F388/3*4</f>
        <v>49786.359999999993</v>
      </c>
      <c r="I388" s="20">
        <v>67878</v>
      </c>
      <c r="J388" s="11">
        <f t="shared" si="116"/>
        <v>1.0596003746487668</v>
      </c>
      <c r="K388" s="51">
        <f t="shared" si="135"/>
        <v>64060</v>
      </c>
      <c r="L388" s="19">
        <f t="shared" ref="L388:L398" si="137">SUM(M388:S388)</f>
        <v>0</v>
      </c>
      <c r="M388" s="19"/>
      <c r="N388" s="19"/>
      <c r="O388" s="19"/>
      <c r="P388" s="19"/>
      <c r="Q388" s="21">
        <v>0</v>
      </c>
      <c r="R388" s="19"/>
      <c r="S388" s="19"/>
      <c r="T388" s="19"/>
      <c r="U388" s="19">
        <f t="shared" ref="U388:U394" si="138">SUM(V388:AE388)</f>
        <v>0</v>
      </c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55">
        <v>64060</v>
      </c>
    </row>
    <row r="389" spans="1:32" x14ac:dyDescent="0.2">
      <c r="A389" s="4"/>
      <c r="B389" s="31"/>
      <c r="C389" s="42" t="s">
        <v>120</v>
      </c>
      <c r="D389" s="134" t="s">
        <v>121</v>
      </c>
      <c r="E389" s="32">
        <v>9000</v>
      </c>
      <c r="F389" s="20">
        <v>3687.06</v>
      </c>
      <c r="G389" s="11">
        <f t="shared" si="115"/>
        <v>0.40967333333333333</v>
      </c>
      <c r="H389" s="45">
        <f t="shared" si="136"/>
        <v>4916.08</v>
      </c>
      <c r="I389" s="20">
        <v>9525</v>
      </c>
      <c r="J389" s="11">
        <f t="shared" si="116"/>
        <v>1.0583333333333333</v>
      </c>
      <c r="K389" s="51">
        <f t="shared" si="135"/>
        <v>9000</v>
      </c>
      <c r="L389" s="19">
        <f t="shared" si="137"/>
        <v>0</v>
      </c>
      <c r="M389" s="19"/>
      <c r="N389" s="19"/>
      <c r="O389" s="19"/>
      <c r="P389" s="19"/>
      <c r="Q389" s="21">
        <v>0</v>
      </c>
      <c r="R389" s="19"/>
      <c r="S389" s="19"/>
      <c r="T389" s="19"/>
      <c r="U389" s="19">
        <f t="shared" si="138"/>
        <v>0</v>
      </c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55">
        <v>9000</v>
      </c>
    </row>
    <row r="390" spans="1:32" x14ac:dyDescent="0.2">
      <c r="A390" s="4"/>
      <c r="B390" s="31"/>
      <c r="C390" s="42" t="s">
        <v>128</v>
      </c>
      <c r="D390" s="134" t="s">
        <v>129</v>
      </c>
      <c r="E390" s="32">
        <v>7000</v>
      </c>
      <c r="F390" s="20">
        <v>6566.1</v>
      </c>
      <c r="G390" s="11">
        <f t="shared" ref="G390:G449" si="139">F390/E390</f>
        <v>0.9380142857142858</v>
      </c>
      <c r="H390" s="45">
        <v>7000</v>
      </c>
      <c r="I390" s="20">
        <v>15000</v>
      </c>
      <c r="J390" s="11">
        <f t="shared" ref="J390:J449" si="140">I390/E390</f>
        <v>2.1428571428571428</v>
      </c>
      <c r="K390" s="51">
        <f t="shared" si="135"/>
        <v>7000</v>
      </c>
      <c r="L390" s="19">
        <f t="shared" si="137"/>
        <v>0</v>
      </c>
      <c r="M390" s="19"/>
      <c r="N390" s="19"/>
      <c r="O390" s="19"/>
      <c r="P390" s="19"/>
      <c r="Q390" s="97">
        <v>0</v>
      </c>
      <c r="R390" s="19"/>
      <c r="S390" s="19"/>
      <c r="T390" s="19"/>
      <c r="U390" s="19">
        <f t="shared" si="138"/>
        <v>0</v>
      </c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55">
        <v>7000</v>
      </c>
    </row>
    <row r="391" spans="1:32" x14ac:dyDescent="0.2">
      <c r="A391" s="4"/>
      <c r="B391" s="31"/>
      <c r="C391" s="42" t="s">
        <v>122</v>
      </c>
      <c r="D391" s="134" t="s">
        <v>123</v>
      </c>
      <c r="E391" s="32">
        <v>50451</v>
      </c>
      <c r="F391" s="20">
        <v>23513.55</v>
      </c>
      <c r="G391" s="11">
        <f t="shared" si="139"/>
        <v>0.46606707498364747</v>
      </c>
      <c r="H391" s="45">
        <f t="shared" si="136"/>
        <v>31351.399999999998</v>
      </c>
      <c r="I391" s="20">
        <v>58000</v>
      </c>
      <c r="J391" s="11">
        <f t="shared" si="140"/>
        <v>1.1496303343838576</v>
      </c>
      <c r="K391" s="51">
        <f t="shared" si="135"/>
        <v>50451</v>
      </c>
      <c r="L391" s="19">
        <f t="shared" si="137"/>
        <v>0</v>
      </c>
      <c r="M391" s="19"/>
      <c r="N391" s="19"/>
      <c r="O391" s="19"/>
      <c r="P391" s="19"/>
      <c r="Q391" s="21">
        <v>0</v>
      </c>
      <c r="R391" s="19"/>
      <c r="S391" s="19"/>
      <c r="T391" s="19"/>
      <c r="U391" s="19">
        <f t="shared" si="138"/>
        <v>0</v>
      </c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55">
        <v>50451</v>
      </c>
    </row>
    <row r="392" spans="1:32" x14ac:dyDescent="0.2">
      <c r="A392" s="4"/>
      <c r="B392" s="31"/>
      <c r="C392" s="42" t="s">
        <v>130</v>
      </c>
      <c r="D392" s="134" t="s">
        <v>131</v>
      </c>
      <c r="E392" s="32">
        <v>16000</v>
      </c>
      <c r="F392" s="20">
        <v>13592.69</v>
      </c>
      <c r="G392" s="11">
        <f t="shared" si="139"/>
        <v>0.84954312500000007</v>
      </c>
      <c r="H392" s="45">
        <v>16000</v>
      </c>
      <c r="I392" s="20">
        <v>16000</v>
      </c>
      <c r="J392" s="11">
        <f t="shared" si="140"/>
        <v>1</v>
      </c>
      <c r="K392" s="51">
        <f t="shared" si="135"/>
        <v>16000</v>
      </c>
      <c r="L392" s="19">
        <f t="shared" si="137"/>
        <v>0</v>
      </c>
      <c r="M392" s="19"/>
      <c r="N392" s="19"/>
      <c r="O392" s="19"/>
      <c r="P392" s="19"/>
      <c r="Q392" s="21">
        <v>0</v>
      </c>
      <c r="R392" s="19"/>
      <c r="S392" s="19"/>
      <c r="T392" s="19"/>
      <c r="U392" s="19">
        <f t="shared" si="138"/>
        <v>0</v>
      </c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55">
        <v>16000</v>
      </c>
    </row>
    <row r="393" spans="1:32" x14ac:dyDescent="0.2">
      <c r="A393" s="4"/>
      <c r="B393" s="31"/>
      <c r="C393" s="33" t="s">
        <v>185</v>
      </c>
      <c r="D393" s="134" t="s">
        <v>186</v>
      </c>
      <c r="E393" s="32">
        <v>500</v>
      </c>
      <c r="F393" s="20">
        <v>485</v>
      </c>
      <c r="G393" s="11">
        <f t="shared" si="139"/>
        <v>0.97</v>
      </c>
      <c r="H393" s="45">
        <v>500</v>
      </c>
      <c r="I393" s="20">
        <v>2000</v>
      </c>
      <c r="J393" s="11">
        <f t="shared" si="140"/>
        <v>4</v>
      </c>
      <c r="K393" s="51">
        <f t="shared" si="135"/>
        <v>500</v>
      </c>
      <c r="L393" s="19">
        <f t="shared" si="137"/>
        <v>0</v>
      </c>
      <c r="M393" s="19"/>
      <c r="N393" s="19"/>
      <c r="O393" s="19"/>
      <c r="P393" s="19"/>
      <c r="Q393" s="21">
        <v>0</v>
      </c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55">
        <v>500</v>
      </c>
    </row>
    <row r="394" spans="1:32" x14ac:dyDescent="0.2">
      <c r="A394" s="4"/>
      <c r="B394" s="31"/>
      <c r="C394" s="42" t="s">
        <v>124</v>
      </c>
      <c r="D394" s="134" t="s">
        <v>125</v>
      </c>
      <c r="E394" s="32">
        <v>156660</v>
      </c>
      <c r="F394" s="20">
        <v>58506.87</v>
      </c>
      <c r="G394" s="11">
        <f t="shared" si="139"/>
        <v>0.37346399846801992</v>
      </c>
      <c r="H394" s="45">
        <v>140000</v>
      </c>
      <c r="I394" s="20">
        <v>122206</v>
      </c>
      <c r="J394" s="11">
        <f t="shared" si="140"/>
        <v>0.78007149240393203</v>
      </c>
      <c r="K394" s="51">
        <f t="shared" si="135"/>
        <v>167000</v>
      </c>
      <c r="L394" s="19">
        <f t="shared" si="137"/>
        <v>0</v>
      </c>
      <c r="M394" s="19"/>
      <c r="N394" s="19"/>
      <c r="O394" s="19"/>
      <c r="P394" s="19"/>
      <c r="Q394" s="21">
        <v>0</v>
      </c>
      <c r="R394" s="19"/>
      <c r="S394" s="19"/>
      <c r="T394" s="19"/>
      <c r="U394" s="19">
        <f t="shared" si="138"/>
        <v>0</v>
      </c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55">
        <v>167000</v>
      </c>
    </row>
    <row r="395" spans="1:32" ht="22.5" x14ac:dyDescent="0.2">
      <c r="A395" s="4"/>
      <c r="B395" s="31"/>
      <c r="C395" s="33" t="s">
        <v>147</v>
      </c>
      <c r="D395" s="134" t="s">
        <v>148</v>
      </c>
      <c r="E395" s="32">
        <v>2000</v>
      </c>
      <c r="F395" s="20">
        <v>1508.72</v>
      </c>
      <c r="G395" s="11">
        <f>F395/E395</f>
        <v>0.75436000000000003</v>
      </c>
      <c r="H395" s="45">
        <v>2000</v>
      </c>
      <c r="I395" s="20">
        <v>2500</v>
      </c>
      <c r="J395" s="11">
        <v>0</v>
      </c>
      <c r="K395" s="51">
        <f t="shared" si="135"/>
        <v>2000</v>
      </c>
      <c r="L395" s="19">
        <f t="shared" si="137"/>
        <v>0</v>
      </c>
      <c r="M395" s="19"/>
      <c r="N395" s="19"/>
      <c r="O395" s="19"/>
      <c r="P395" s="19"/>
      <c r="Q395" s="21">
        <v>0</v>
      </c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55">
        <v>2000</v>
      </c>
    </row>
    <row r="396" spans="1:32" x14ac:dyDescent="0.2">
      <c r="A396" s="4"/>
      <c r="B396" s="31"/>
      <c r="C396" s="33" t="s">
        <v>191</v>
      </c>
      <c r="D396" s="134" t="s">
        <v>192</v>
      </c>
      <c r="E396" s="32">
        <v>1000</v>
      </c>
      <c r="F396" s="20">
        <v>0</v>
      </c>
      <c r="G396" s="11">
        <f>F396/E396</f>
        <v>0</v>
      </c>
      <c r="H396" s="45">
        <f t="shared" si="136"/>
        <v>0</v>
      </c>
      <c r="I396" s="20">
        <v>1000</v>
      </c>
      <c r="J396" s="11">
        <v>0</v>
      </c>
      <c r="K396" s="51">
        <f t="shared" si="135"/>
        <v>1000</v>
      </c>
      <c r="L396" s="19">
        <f t="shared" si="137"/>
        <v>0</v>
      </c>
      <c r="M396" s="19"/>
      <c r="N396" s="19"/>
      <c r="O396" s="19"/>
      <c r="P396" s="19"/>
      <c r="Q396" s="21">
        <v>0</v>
      </c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55">
        <v>1000</v>
      </c>
    </row>
    <row r="397" spans="1:32" ht="22.5" x14ac:dyDescent="0.2">
      <c r="A397" s="4"/>
      <c r="B397" s="31"/>
      <c r="C397" s="33" t="s">
        <v>193</v>
      </c>
      <c r="D397" s="134" t="s">
        <v>194</v>
      </c>
      <c r="E397" s="32">
        <v>7628</v>
      </c>
      <c r="F397" s="20">
        <v>7628</v>
      </c>
      <c r="G397" s="11">
        <f>F397/E397</f>
        <v>1</v>
      </c>
      <c r="H397" s="45">
        <v>7628</v>
      </c>
      <c r="I397" s="20">
        <v>12403</v>
      </c>
      <c r="J397" s="11">
        <v>0</v>
      </c>
      <c r="K397" s="51">
        <f t="shared" si="135"/>
        <v>7628</v>
      </c>
      <c r="L397" s="19">
        <f t="shared" si="137"/>
        <v>0</v>
      </c>
      <c r="M397" s="19"/>
      <c r="N397" s="19"/>
      <c r="O397" s="19"/>
      <c r="P397" s="19"/>
      <c r="Q397" s="21">
        <v>0</v>
      </c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55">
        <v>7628</v>
      </c>
    </row>
    <row r="398" spans="1:32" ht="22.5" x14ac:dyDescent="0.2">
      <c r="A398" s="4"/>
      <c r="B398" s="31"/>
      <c r="C398" s="33" t="s">
        <v>195</v>
      </c>
      <c r="D398" s="134" t="s">
        <v>196</v>
      </c>
      <c r="E398" s="32">
        <v>3000</v>
      </c>
      <c r="F398" s="20">
        <v>1800</v>
      </c>
      <c r="G398" s="11">
        <v>0</v>
      </c>
      <c r="H398" s="45">
        <f t="shared" si="136"/>
        <v>2400</v>
      </c>
      <c r="I398" s="20">
        <v>3500</v>
      </c>
      <c r="J398" s="11">
        <v>0</v>
      </c>
      <c r="K398" s="51">
        <f t="shared" si="135"/>
        <v>3000</v>
      </c>
      <c r="L398" s="19">
        <f t="shared" si="137"/>
        <v>0</v>
      </c>
      <c r="M398" s="19"/>
      <c r="N398" s="19"/>
      <c r="O398" s="19"/>
      <c r="P398" s="19"/>
      <c r="Q398" s="21">
        <v>0</v>
      </c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55">
        <v>3000</v>
      </c>
    </row>
    <row r="399" spans="1:32" ht="22.5" x14ac:dyDescent="0.2">
      <c r="A399" s="4"/>
      <c r="B399" s="31"/>
      <c r="C399" s="33" t="s">
        <v>380</v>
      </c>
      <c r="D399" s="34" t="s">
        <v>382</v>
      </c>
      <c r="E399" s="32">
        <v>0</v>
      </c>
      <c r="F399" s="20">
        <v>0</v>
      </c>
      <c r="G399" s="11">
        <v>0</v>
      </c>
      <c r="H399" s="45">
        <f t="shared" si="136"/>
        <v>0</v>
      </c>
      <c r="I399" s="20">
        <v>5831</v>
      </c>
      <c r="J399" s="11">
        <v>0</v>
      </c>
      <c r="K399" s="51"/>
      <c r="L399" s="19"/>
      <c r="M399" s="19"/>
      <c r="N399" s="19"/>
      <c r="O399" s="19"/>
      <c r="P399" s="19"/>
      <c r="Q399" s="21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55"/>
    </row>
    <row r="400" spans="1:32" ht="33.75" x14ac:dyDescent="0.2">
      <c r="A400" s="3"/>
      <c r="B400" s="165" t="s">
        <v>281</v>
      </c>
      <c r="C400" s="166"/>
      <c r="D400" s="167" t="s">
        <v>282</v>
      </c>
      <c r="E400" s="168">
        <f>E401+E402</f>
        <v>1200</v>
      </c>
      <c r="F400" s="168">
        <f t="shared" ref="F400:AF400" si="141">F401+F402</f>
        <v>899</v>
      </c>
      <c r="G400" s="170">
        <f t="shared" si="139"/>
        <v>0.74916666666666665</v>
      </c>
      <c r="H400" s="168">
        <f t="shared" si="141"/>
        <v>0</v>
      </c>
      <c r="I400" s="168">
        <f t="shared" si="141"/>
        <v>3500</v>
      </c>
      <c r="J400" s="170">
        <f t="shared" si="140"/>
        <v>2.9166666666666665</v>
      </c>
      <c r="K400" s="112">
        <f t="shared" si="141"/>
        <v>3500</v>
      </c>
      <c r="L400" s="72">
        <f t="shared" si="141"/>
        <v>0</v>
      </c>
      <c r="M400" s="72">
        <f t="shared" si="141"/>
        <v>0</v>
      </c>
      <c r="N400" s="72">
        <f t="shared" si="141"/>
        <v>0</v>
      </c>
      <c r="O400" s="72"/>
      <c r="P400" s="72">
        <f t="shared" si="141"/>
        <v>0</v>
      </c>
      <c r="Q400" s="72">
        <f t="shared" si="141"/>
        <v>0</v>
      </c>
      <c r="R400" s="72">
        <f t="shared" si="141"/>
        <v>0</v>
      </c>
      <c r="S400" s="73">
        <f>S401+S402</f>
        <v>0</v>
      </c>
      <c r="T400" s="72">
        <f t="shared" si="141"/>
        <v>3500</v>
      </c>
      <c r="U400" s="72">
        <f t="shared" si="141"/>
        <v>0</v>
      </c>
      <c r="V400" s="72">
        <f t="shared" si="141"/>
        <v>0</v>
      </c>
      <c r="W400" s="72">
        <f t="shared" si="141"/>
        <v>0</v>
      </c>
      <c r="X400" s="72">
        <f t="shared" si="141"/>
        <v>0</v>
      </c>
      <c r="Y400" s="72">
        <f t="shared" si="141"/>
        <v>0</v>
      </c>
      <c r="Z400" s="72">
        <f t="shared" si="141"/>
        <v>0</v>
      </c>
      <c r="AA400" s="72">
        <f t="shared" si="141"/>
        <v>0</v>
      </c>
      <c r="AB400" s="72">
        <f t="shared" si="141"/>
        <v>0</v>
      </c>
      <c r="AC400" s="72">
        <f t="shared" si="141"/>
        <v>0</v>
      </c>
      <c r="AD400" s="72">
        <f t="shared" si="141"/>
        <v>0</v>
      </c>
      <c r="AE400" s="72">
        <f t="shared" si="141"/>
        <v>0</v>
      </c>
      <c r="AF400" s="72">
        <f t="shared" si="141"/>
        <v>0</v>
      </c>
    </row>
    <row r="401" spans="1:32" x14ac:dyDescent="0.2">
      <c r="A401" s="4"/>
      <c r="B401" s="31"/>
      <c r="C401" s="42" t="s">
        <v>122</v>
      </c>
      <c r="D401" s="134" t="s">
        <v>123</v>
      </c>
      <c r="E401" s="32">
        <v>200</v>
      </c>
      <c r="F401" s="20">
        <v>0</v>
      </c>
      <c r="G401" s="11">
        <f t="shared" si="139"/>
        <v>0</v>
      </c>
      <c r="H401" s="20">
        <v>0</v>
      </c>
      <c r="I401" s="20">
        <v>500</v>
      </c>
      <c r="J401" s="11">
        <f t="shared" si="140"/>
        <v>2.5</v>
      </c>
      <c r="K401" s="24">
        <f>L401+T401+U401+AF401</f>
        <v>500</v>
      </c>
      <c r="L401" s="19">
        <f>SUM(M401:S401)</f>
        <v>0</v>
      </c>
      <c r="M401" s="19"/>
      <c r="N401" s="19"/>
      <c r="O401" s="19"/>
      <c r="P401" s="19"/>
      <c r="Q401" s="19"/>
      <c r="R401" s="19"/>
      <c r="S401" s="19"/>
      <c r="T401" s="55">
        <v>500</v>
      </c>
      <c r="U401" s="19">
        <f>SUM(V401:AE401)</f>
        <v>0</v>
      </c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</row>
    <row r="402" spans="1:32" x14ac:dyDescent="0.2">
      <c r="A402" s="4"/>
      <c r="B402" s="31"/>
      <c r="C402" s="42" t="s">
        <v>124</v>
      </c>
      <c r="D402" s="134" t="s">
        <v>125</v>
      </c>
      <c r="E402" s="32">
        <v>1000</v>
      </c>
      <c r="F402" s="20">
        <v>899</v>
      </c>
      <c r="G402" s="11">
        <f t="shared" si="139"/>
        <v>0.89900000000000002</v>
      </c>
      <c r="H402" s="20">
        <v>0</v>
      </c>
      <c r="I402" s="20">
        <v>3000</v>
      </c>
      <c r="J402" s="11">
        <f t="shared" si="140"/>
        <v>3</v>
      </c>
      <c r="K402" s="24">
        <f>L402+T402+U402+AF402</f>
        <v>3000</v>
      </c>
      <c r="L402" s="19">
        <f>SUM(M402:S402)</f>
        <v>0</v>
      </c>
      <c r="M402" s="19"/>
      <c r="N402" s="19"/>
      <c r="O402" s="19"/>
      <c r="P402" s="19"/>
      <c r="Q402" s="19"/>
      <c r="R402" s="19"/>
      <c r="S402" s="19"/>
      <c r="T402" s="55">
        <v>3000</v>
      </c>
      <c r="U402" s="19">
        <f>SUM(V402:AE402)</f>
        <v>0</v>
      </c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</row>
    <row r="403" spans="1:32" ht="78.75" x14ac:dyDescent="0.2">
      <c r="A403" s="3"/>
      <c r="B403" s="165" t="s">
        <v>64</v>
      </c>
      <c r="C403" s="166"/>
      <c r="D403" s="167" t="s">
        <v>65</v>
      </c>
      <c r="E403" s="168">
        <f>E404+E405</f>
        <v>55533</v>
      </c>
      <c r="F403" s="171">
        <f t="shared" ref="F403:AF403" si="142">F404+F405</f>
        <v>37329.07</v>
      </c>
      <c r="G403" s="170">
        <f t="shared" si="139"/>
        <v>0.67219617164568812</v>
      </c>
      <c r="H403" s="171">
        <f t="shared" si="142"/>
        <v>49772.093333333331</v>
      </c>
      <c r="I403" s="171">
        <f t="shared" si="142"/>
        <v>53333</v>
      </c>
      <c r="J403" s="170">
        <f t="shared" si="140"/>
        <v>0.96038391586984317</v>
      </c>
      <c r="K403" s="112">
        <f t="shared" si="142"/>
        <v>55033</v>
      </c>
      <c r="L403" s="72">
        <f t="shared" si="142"/>
        <v>250</v>
      </c>
      <c r="M403" s="72">
        <f t="shared" si="142"/>
        <v>0</v>
      </c>
      <c r="N403" s="72">
        <f t="shared" si="142"/>
        <v>0</v>
      </c>
      <c r="O403" s="72"/>
      <c r="P403" s="72">
        <f t="shared" si="142"/>
        <v>0</v>
      </c>
      <c r="Q403" s="72">
        <f t="shared" si="142"/>
        <v>250</v>
      </c>
      <c r="R403" s="72">
        <f t="shared" si="142"/>
        <v>0</v>
      </c>
      <c r="S403" s="73">
        <f>S404+S405</f>
        <v>0</v>
      </c>
      <c r="T403" s="72">
        <f t="shared" si="142"/>
        <v>54783</v>
      </c>
      <c r="U403" s="72">
        <f t="shared" si="142"/>
        <v>0</v>
      </c>
      <c r="V403" s="72">
        <f t="shared" si="142"/>
        <v>0</v>
      </c>
      <c r="W403" s="72">
        <f t="shared" si="142"/>
        <v>0</v>
      </c>
      <c r="X403" s="72">
        <f t="shared" si="142"/>
        <v>0</v>
      </c>
      <c r="Y403" s="72">
        <f t="shared" si="142"/>
        <v>0</v>
      </c>
      <c r="Z403" s="72">
        <f t="shared" si="142"/>
        <v>0</v>
      </c>
      <c r="AA403" s="72">
        <f t="shared" si="142"/>
        <v>0</v>
      </c>
      <c r="AB403" s="72">
        <f t="shared" si="142"/>
        <v>0</v>
      </c>
      <c r="AC403" s="72">
        <f t="shared" si="142"/>
        <v>0</v>
      </c>
      <c r="AD403" s="72">
        <f t="shared" si="142"/>
        <v>0</v>
      </c>
      <c r="AE403" s="72">
        <f t="shared" si="142"/>
        <v>0</v>
      </c>
      <c r="AF403" s="72">
        <f t="shared" si="142"/>
        <v>0</v>
      </c>
    </row>
    <row r="404" spans="1:32" ht="67.5" x14ac:dyDescent="0.2">
      <c r="A404" s="4"/>
      <c r="B404" s="31"/>
      <c r="C404" s="42" t="s">
        <v>66</v>
      </c>
      <c r="D404" s="134" t="s">
        <v>283</v>
      </c>
      <c r="E404" s="32">
        <v>750</v>
      </c>
      <c r="F404" s="20">
        <v>464.4</v>
      </c>
      <c r="G404" s="11">
        <f t="shared" si="139"/>
        <v>0.61919999999999997</v>
      </c>
      <c r="H404" s="20">
        <f>F404/3*4</f>
        <v>619.19999999999993</v>
      </c>
      <c r="I404" s="20">
        <v>0</v>
      </c>
      <c r="J404" s="11">
        <f t="shared" si="140"/>
        <v>0</v>
      </c>
      <c r="K404" s="24">
        <f>L404+T404+U404+AF404</f>
        <v>250</v>
      </c>
      <c r="L404" s="19">
        <f>SUM(M404:S404)</f>
        <v>250</v>
      </c>
      <c r="M404" s="19"/>
      <c r="N404" s="19"/>
      <c r="O404" s="19"/>
      <c r="P404" s="19"/>
      <c r="Q404" s="19">
        <v>250</v>
      </c>
      <c r="R404" s="19"/>
      <c r="S404" s="19"/>
      <c r="T404" s="19">
        <v>0</v>
      </c>
      <c r="U404" s="19">
        <f>SUM(V404:AE404)</f>
        <v>0</v>
      </c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</row>
    <row r="405" spans="1:32" x14ac:dyDescent="0.2">
      <c r="A405" s="4"/>
      <c r="B405" s="31"/>
      <c r="C405" s="42" t="s">
        <v>284</v>
      </c>
      <c r="D405" s="134" t="s">
        <v>285</v>
      </c>
      <c r="E405" s="32">
        <v>54783</v>
      </c>
      <c r="F405" s="20">
        <v>36864.67</v>
      </c>
      <c r="G405" s="11">
        <f t="shared" si="139"/>
        <v>0.67292170928937811</v>
      </c>
      <c r="H405" s="20">
        <f>F405/3*4</f>
        <v>49152.893333333333</v>
      </c>
      <c r="I405" s="20">
        <v>53333</v>
      </c>
      <c r="J405" s="11">
        <f t="shared" si="140"/>
        <v>0.97353193508935254</v>
      </c>
      <c r="K405" s="24">
        <f>L405+T405+U405+AF405</f>
        <v>54783</v>
      </c>
      <c r="L405" s="19">
        <f>SUM(M405:S405)</f>
        <v>0</v>
      </c>
      <c r="M405" s="19"/>
      <c r="N405" s="19"/>
      <c r="O405" s="19"/>
      <c r="P405" s="19"/>
      <c r="Q405" s="19"/>
      <c r="R405" s="19"/>
      <c r="S405" s="19"/>
      <c r="T405" s="55">
        <v>54783</v>
      </c>
      <c r="U405" s="19">
        <f>SUM(V405:AE405)</f>
        <v>0</v>
      </c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</row>
    <row r="406" spans="1:32" ht="45" x14ac:dyDescent="0.2">
      <c r="A406" s="3"/>
      <c r="B406" s="165" t="s">
        <v>67</v>
      </c>
      <c r="C406" s="166"/>
      <c r="D406" s="167" t="s">
        <v>68</v>
      </c>
      <c r="E406" s="168">
        <f>E408</f>
        <v>475200</v>
      </c>
      <c r="F406" s="171">
        <f t="shared" ref="F406:AF406" si="143">F408</f>
        <v>265657.12</v>
      </c>
      <c r="G406" s="170">
        <f t="shared" si="139"/>
        <v>0.55904276094276095</v>
      </c>
      <c r="H406" s="171">
        <f t="shared" si="143"/>
        <v>354209.49333333335</v>
      </c>
      <c r="I406" s="171">
        <f>I408+I407</f>
        <v>446692</v>
      </c>
      <c r="J406" s="170">
        <f t="shared" si="140"/>
        <v>0.94000841750841746</v>
      </c>
      <c r="K406" s="112">
        <f t="shared" si="143"/>
        <v>450640</v>
      </c>
      <c r="L406" s="72">
        <f t="shared" si="143"/>
        <v>0</v>
      </c>
      <c r="M406" s="72">
        <f t="shared" si="143"/>
        <v>0</v>
      </c>
      <c r="N406" s="72">
        <f t="shared" si="143"/>
        <v>0</v>
      </c>
      <c r="O406" s="72"/>
      <c r="P406" s="72">
        <f t="shared" si="143"/>
        <v>0</v>
      </c>
      <c r="Q406" s="72">
        <f t="shared" si="143"/>
        <v>0</v>
      </c>
      <c r="R406" s="72">
        <f t="shared" si="143"/>
        <v>0</v>
      </c>
      <c r="S406" s="73">
        <f>S408</f>
        <v>0</v>
      </c>
      <c r="T406" s="72">
        <f t="shared" si="143"/>
        <v>450640</v>
      </c>
      <c r="U406" s="72">
        <f t="shared" si="143"/>
        <v>0</v>
      </c>
      <c r="V406" s="72">
        <f t="shared" si="143"/>
        <v>0</v>
      </c>
      <c r="W406" s="72">
        <f t="shared" si="143"/>
        <v>0</v>
      </c>
      <c r="X406" s="72">
        <f t="shared" si="143"/>
        <v>0</v>
      </c>
      <c r="Y406" s="72">
        <f t="shared" si="143"/>
        <v>0</v>
      </c>
      <c r="Z406" s="72">
        <f t="shared" si="143"/>
        <v>0</v>
      </c>
      <c r="AA406" s="72">
        <f t="shared" si="143"/>
        <v>0</v>
      </c>
      <c r="AB406" s="72">
        <f t="shared" si="143"/>
        <v>0</v>
      </c>
      <c r="AC406" s="72">
        <f t="shared" si="143"/>
        <v>0</v>
      </c>
      <c r="AD406" s="72">
        <f t="shared" si="143"/>
        <v>0</v>
      </c>
      <c r="AE406" s="72">
        <f t="shared" si="143"/>
        <v>0</v>
      </c>
      <c r="AF406" s="72">
        <f t="shared" si="143"/>
        <v>0</v>
      </c>
    </row>
    <row r="407" spans="1:32" ht="67.5" x14ac:dyDescent="0.2">
      <c r="A407" s="3"/>
      <c r="B407" s="143"/>
      <c r="C407" s="137" t="s">
        <v>77</v>
      </c>
      <c r="D407" s="134" t="s">
        <v>216</v>
      </c>
      <c r="E407" s="145">
        <v>0</v>
      </c>
      <c r="F407" s="45">
        <v>0</v>
      </c>
      <c r="G407" s="14">
        <v>0</v>
      </c>
      <c r="H407" s="45">
        <f>F407/3*4</f>
        <v>0</v>
      </c>
      <c r="I407" s="45">
        <v>141255</v>
      </c>
      <c r="J407" s="14">
        <v>0</v>
      </c>
      <c r="K407" s="150"/>
      <c r="L407" s="151"/>
      <c r="M407" s="151"/>
      <c r="N407" s="151"/>
      <c r="O407" s="151"/>
      <c r="P407" s="151"/>
      <c r="Q407" s="151"/>
      <c r="R407" s="151"/>
      <c r="S407" s="152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</row>
    <row r="408" spans="1:32" x14ac:dyDescent="0.2">
      <c r="A408" s="4"/>
      <c r="B408" s="31"/>
      <c r="C408" s="42" t="s">
        <v>286</v>
      </c>
      <c r="D408" s="134" t="s">
        <v>287</v>
      </c>
      <c r="E408" s="32">
        <v>475200</v>
      </c>
      <c r="F408" s="20">
        <v>265657.12</v>
      </c>
      <c r="G408" s="11">
        <f t="shared" si="139"/>
        <v>0.55904276094276095</v>
      </c>
      <c r="H408" s="45">
        <f>F408/3*4</f>
        <v>354209.49333333335</v>
      </c>
      <c r="I408" s="20">
        <v>305437</v>
      </c>
      <c r="J408" s="11">
        <f t="shared" si="140"/>
        <v>0.64275462962962959</v>
      </c>
      <c r="K408" s="24">
        <f>L408+T408+U408+AF408</f>
        <v>450640</v>
      </c>
      <c r="L408" s="19">
        <f>SUM(M408:S408)</f>
        <v>0</v>
      </c>
      <c r="M408" s="19"/>
      <c r="N408" s="19"/>
      <c r="O408" s="19"/>
      <c r="P408" s="19"/>
      <c r="Q408" s="19"/>
      <c r="R408" s="19"/>
      <c r="S408" s="19"/>
      <c r="T408" s="101">
        <v>450640</v>
      </c>
      <c r="U408" s="19">
        <f>SUM(V408:AE408)</f>
        <v>0</v>
      </c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</row>
    <row r="409" spans="1:32" ht="15.75" x14ac:dyDescent="0.2">
      <c r="A409" s="3"/>
      <c r="B409" s="165" t="s">
        <v>69</v>
      </c>
      <c r="C409" s="166"/>
      <c r="D409" s="167" t="s">
        <v>70</v>
      </c>
      <c r="E409" s="168">
        <f>E410+E411</f>
        <v>400000</v>
      </c>
      <c r="F409" s="171">
        <f t="shared" ref="F409:AF409" si="144">F410+F411</f>
        <v>285813.34000000003</v>
      </c>
      <c r="G409" s="170">
        <f t="shared" si="139"/>
        <v>0.71453335000000007</v>
      </c>
      <c r="H409" s="171">
        <f t="shared" si="144"/>
        <v>381084.45333333337</v>
      </c>
      <c r="I409" s="171">
        <f t="shared" si="144"/>
        <v>440000</v>
      </c>
      <c r="J409" s="170">
        <f t="shared" si="140"/>
        <v>1.1000000000000001</v>
      </c>
      <c r="K409" s="112">
        <f t="shared" si="144"/>
        <v>390000</v>
      </c>
      <c r="L409" s="72">
        <f t="shared" si="144"/>
        <v>390000</v>
      </c>
      <c r="M409" s="72">
        <f t="shared" si="144"/>
        <v>390000</v>
      </c>
      <c r="N409" s="72">
        <f t="shared" si="144"/>
        <v>0</v>
      </c>
      <c r="O409" s="72"/>
      <c r="P409" s="72">
        <f t="shared" si="144"/>
        <v>0</v>
      </c>
      <c r="Q409" s="72">
        <f t="shared" si="144"/>
        <v>0</v>
      </c>
      <c r="R409" s="72">
        <f t="shared" si="144"/>
        <v>0</v>
      </c>
      <c r="S409" s="73">
        <f>S410+S411</f>
        <v>0</v>
      </c>
      <c r="T409" s="72">
        <f t="shared" si="144"/>
        <v>0</v>
      </c>
      <c r="U409" s="72">
        <f t="shared" si="144"/>
        <v>0</v>
      </c>
      <c r="V409" s="72">
        <f t="shared" si="144"/>
        <v>0</v>
      </c>
      <c r="W409" s="72">
        <f t="shared" si="144"/>
        <v>0</v>
      </c>
      <c r="X409" s="72">
        <f t="shared" si="144"/>
        <v>0</v>
      </c>
      <c r="Y409" s="72">
        <f t="shared" si="144"/>
        <v>0</v>
      </c>
      <c r="Z409" s="72">
        <f t="shared" si="144"/>
        <v>0</v>
      </c>
      <c r="AA409" s="72">
        <f t="shared" si="144"/>
        <v>0</v>
      </c>
      <c r="AB409" s="72">
        <f t="shared" si="144"/>
        <v>0</v>
      </c>
      <c r="AC409" s="72">
        <f t="shared" si="144"/>
        <v>0</v>
      </c>
      <c r="AD409" s="72">
        <f t="shared" si="144"/>
        <v>0</v>
      </c>
      <c r="AE409" s="72">
        <f t="shared" si="144"/>
        <v>0</v>
      </c>
      <c r="AF409" s="72">
        <f t="shared" si="144"/>
        <v>0</v>
      </c>
    </row>
    <row r="410" spans="1:32" x14ac:dyDescent="0.2">
      <c r="A410" s="4"/>
      <c r="B410" s="31"/>
      <c r="C410" s="42" t="s">
        <v>286</v>
      </c>
      <c r="D410" s="134" t="s">
        <v>287</v>
      </c>
      <c r="E410" s="32">
        <v>399803.92</v>
      </c>
      <c r="F410" s="39">
        <v>285813.34000000003</v>
      </c>
      <c r="G410" s="38">
        <f t="shared" si="139"/>
        <v>0.71488378603191294</v>
      </c>
      <c r="H410" s="39">
        <f>F410/3*4</f>
        <v>381084.45333333337</v>
      </c>
      <c r="I410" s="39">
        <v>440000</v>
      </c>
      <c r="J410" s="11">
        <f t="shared" si="140"/>
        <v>1.10053948445528</v>
      </c>
      <c r="K410" s="24">
        <f>L410+T410+U410+AF410</f>
        <v>390000</v>
      </c>
      <c r="L410" s="19">
        <f>SUM(M410:S410)</f>
        <v>390000</v>
      </c>
      <c r="M410" s="55">
        <v>390000</v>
      </c>
      <c r="N410" s="19"/>
      <c r="O410" s="19"/>
      <c r="P410" s="19"/>
      <c r="Q410" s="19"/>
      <c r="R410" s="19"/>
      <c r="S410" s="19"/>
      <c r="T410" s="19"/>
      <c r="U410" s="19">
        <f>SUM(V410:AE410)</f>
        <v>0</v>
      </c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</row>
    <row r="411" spans="1:32" x14ac:dyDescent="0.2">
      <c r="A411" s="4"/>
      <c r="B411" s="31"/>
      <c r="C411" s="42" t="s">
        <v>122</v>
      </c>
      <c r="D411" s="134" t="s">
        <v>123</v>
      </c>
      <c r="E411" s="32">
        <v>196.08</v>
      </c>
      <c r="F411" s="39">
        <v>0</v>
      </c>
      <c r="G411" s="38">
        <f t="shared" si="139"/>
        <v>0</v>
      </c>
      <c r="H411" s="39">
        <f>F411/3*4</f>
        <v>0</v>
      </c>
      <c r="I411" s="39">
        <v>0</v>
      </c>
      <c r="J411" s="11">
        <f t="shared" si="140"/>
        <v>0</v>
      </c>
      <c r="K411" s="24">
        <f>L411+T411+U411+AF411</f>
        <v>0</v>
      </c>
      <c r="L411" s="19">
        <f>SUM(M411:S411)</f>
        <v>0</v>
      </c>
      <c r="M411" s="19"/>
      <c r="N411" s="19"/>
      <c r="O411" s="19"/>
      <c r="P411" s="19"/>
      <c r="Q411" s="19"/>
      <c r="R411" s="19"/>
      <c r="S411" s="19"/>
      <c r="T411" s="19"/>
      <c r="U411" s="19">
        <f>SUM(V411:AE411)</f>
        <v>0</v>
      </c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</row>
    <row r="412" spans="1:32" ht="15.75" x14ac:dyDescent="0.2">
      <c r="A412" s="3"/>
      <c r="B412" s="165" t="s">
        <v>71</v>
      </c>
      <c r="C412" s="166"/>
      <c r="D412" s="167" t="s">
        <v>72</v>
      </c>
      <c r="E412" s="168">
        <f>E413+E414</f>
        <v>442400</v>
      </c>
      <c r="F412" s="174">
        <f t="shared" ref="F412:AF412" si="145">F413+F414</f>
        <v>304511.21999999997</v>
      </c>
      <c r="G412" s="175">
        <f t="shared" si="139"/>
        <v>0.68831650090415908</v>
      </c>
      <c r="H412" s="174">
        <f t="shared" si="145"/>
        <v>438620.33333333331</v>
      </c>
      <c r="I412" s="174">
        <f t="shared" si="145"/>
        <v>354440</v>
      </c>
      <c r="J412" s="170">
        <f t="shared" si="140"/>
        <v>0.80117540687160937</v>
      </c>
      <c r="K412" s="112">
        <f t="shared" si="145"/>
        <v>377230</v>
      </c>
      <c r="L412" s="72">
        <f t="shared" si="145"/>
        <v>700</v>
      </c>
      <c r="M412" s="72">
        <f t="shared" si="145"/>
        <v>0</v>
      </c>
      <c r="N412" s="72">
        <f t="shared" si="145"/>
        <v>0</v>
      </c>
      <c r="O412" s="72"/>
      <c r="P412" s="72">
        <f t="shared" si="145"/>
        <v>0</v>
      </c>
      <c r="Q412" s="72">
        <f t="shared" si="145"/>
        <v>700</v>
      </c>
      <c r="R412" s="72">
        <f t="shared" si="145"/>
        <v>0</v>
      </c>
      <c r="S412" s="73">
        <f>S413+S414</f>
        <v>0</v>
      </c>
      <c r="T412" s="72">
        <f t="shared" si="145"/>
        <v>376530</v>
      </c>
      <c r="U412" s="72">
        <f t="shared" si="145"/>
        <v>0</v>
      </c>
      <c r="V412" s="72">
        <f t="shared" si="145"/>
        <v>0</v>
      </c>
      <c r="W412" s="72">
        <f t="shared" si="145"/>
        <v>0</v>
      </c>
      <c r="X412" s="72">
        <f t="shared" si="145"/>
        <v>0</v>
      </c>
      <c r="Y412" s="72">
        <f t="shared" si="145"/>
        <v>0</v>
      </c>
      <c r="Z412" s="72">
        <f t="shared" si="145"/>
        <v>0</v>
      </c>
      <c r="AA412" s="72">
        <f t="shared" si="145"/>
        <v>0</v>
      </c>
      <c r="AB412" s="72">
        <f t="shared" si="145"/>
        <v>0</v>
      </c>
      <c r="AC412" s="72">
        <f t="shared" si="145"/>
        <v>0</v>
      </c>
      <c r="AD412" s="72">
        <f t="shared" si="145"/>
        <v>0</v>
      </c>
      <c r="AE412" s="72">
        <f t="shared" si="145"/>
        <v>0</v>
      </c>
      <c r="AF412" s="72">
        <f t="shared" si="145"/>
        <v>0</v>
      </c>
    </row>
    <row r="413" spans="1:32" ht="67.5" x14ac:dyDescent="0.2">
      <c r="A413" s="4"/>
      <c r="B413" s="31"/>
      <c r="C413" s="42" t="s">
        <v>66</v>
      </c>
      <c r="D413" s="134" t="s">
        <v>283</v>
      </c>
      <c r="E413" s="32">
        <v>7000</v>
      </c>
      <c r="F413" s="39">
        <v>6465.25</v>
      </c>
      <c r="G413" s="38">
        <f t="shared" si="139"/>
        <v>0.92360714285714285</v>
      </c>
      <c r="H413" s="39">
        <f>F413/3*4</f>
        <v>8620.3333333333339</v>
      </c>
      <c r="I413" s="39">
        <v>0</v>
      </c>
      <c r="J413" s="11">
        <f t="shared" si="140"/>
        <v>0</v>
      </c>
      <c r="K413" s="24">
        <f>L413+T413+U413+AF413</f>
        <v>700</v>
      </c>
      <c r="L413" s="19">
        <f>SUM(M413:S413)</f>
        <v>700</v>
      </c>
      <c r="M413" s="9"/>
      <c r="N413" s="9"/>
      <c r="O413" s="9"/>
      <c r="P413" s="19"/>
      <c r="Q413" s="99">
        <v>700</v>
      </c>
      <c r="R413" s="19"/>
      <c r="S413" s="9"/>
      <c r="T413" s="19"/>
      <c r="U413" s="19">
        <f>SUM(V413:AE413)</f>
        <v>0</v>
      </c>
      <c r="V413" s="19"/>
      <c r="W413" s="19"/>
      <c r="X413" s="19"/>
      <c r="Y413" s="19"/>
      <c r="Z413" s="19"/>
      <c r="AA413" s="19"/>
      <c r="AB413" s="9"/>
      <c r="AC413" s="9"/>
      <c r="AD413" s="9"/>
      <c r="AE413" s="9"/>
      <c r="AF413" s="9"/>
    </row>
    <row r="414" spans="1:32" x14ac:dyDescent="0.2">
      <c r="A414" s="4"/>
      <c r="B414" s="31"/>
      <c r="C414" s="42" t="s">
        <v>286</v>
      </c>
      <c r="D414" s="134" t="s">
        <v>287</v>
      </c>
      <c r="E414" s="32">
        <v>435400</v>
      </c>
      <c r="F414" s="39">
        <v>298045.96999999997</v>
      </c>
      <c r="G414" s="38">
        <f t="shared" si="139"/>
        <v>0.68453369315571877</v>
      </c>
      <c r="H414" s="39">
        <v>430000</v>
      </c>
      <c r="I414" s="39">
        <v>354440</v>
      </c>
      <c r="J414" s="11">
        <f t="shared" si="140"/>
        <v>0.81405604042259994</v>
      </c>
      <c r="K414" s="24">
        <f>L414+T414+U414+AF414</f>
        <v>376530</v>
      </c>
      <c r="L414" s="19">
        <f>SUM(M414:S414)</f>
        <v>0</v>
      </c>
      <c r="M414" s="18"/>
      <c r="N414" s="18"/>
      <c r="O414" s="18"/>
      <c r="P414" s="18"/>
      <c r="Q414" s="18"/>
      <c r="R414" s="18"/>
      <c r="S414" s="9"/>
      <c r="T414" s="55">
        <v>376530</v>
      </c>
      <c r="U414" s="19">
        <f>SUM(V414:AE414)</f>
        <v>0</v>
      </c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5.75" x14ac:dyDescent="0.2">
      <c r="A415" s="3"/>
      <c r="B415" s="165" t="s">
        <v>73</v>
      </c>
      <c r="C415" s="166"/>
      <c r="D415" s="167" t="s">
        <v>74</v>
      </c>
      <c r="E415" s="168">
        <f>E416+E417+E418+E419+E420+E421+E422+E423+E424+E425+E426+E427+E428+E429+E430+E431+E432+E433+E434</f>
        <v>1667975</v>
      </c>
      <c r="F415" s="168">
        <f>F416+F417+F418+F419+F420+F421+F422+F423+F424+F425+F426+F427+F428+F429+F430+F431+F432+F433+F434</f>
        <v>1230400.94</v>
      </c>
      <c r="G415" s="175">
        <f t="shared" si="139"/>
        <v>0.73766149972271766</v>
      </c>
      <c r="H415" s="174">
        <f>H416+H417+H418+H419+H420+H421+H422+H423+H424+H425+H426+H427+H428+H429+H430+H431+H432+H433+H434</f>
        <v>1440719.4533333338</v>
      </c>
      <c r="I415" s="174">
        <f>I416+I417+I418+I419+I420+I421+I422+I423+I424+I425+I426+I427+I428+I429+I430+I431+I432+I433+I434</f>
        <v>1733479</v>
      </c>
      <c r="J415" s="170">
        <f t="shared" si="140"/>
        <v>1.0392715718161243</v>
      </c>
      <c r="K415" s="112">
        <f t="shared" ref="K415:AF415" si="146">K416+K417+K418+K419+K420+K421+K422+K423+K424+K425+K426+K427+K428+K429+K430+K431+K432+K433</f>
        <v>1609175</v>
      </c>
      <c r="L415" s="72">
        <f t="shared" si="146"/>
        <v>0</v>
      </c>
      <c r="M415" s="72">
        <f t="shared" si="146"/>
        <v>0</v>
      </c>
      <c r="N415" s="72">
        <f t="shared" si="146"/>
        <v>0</v>
      </c>
      <c r="O415" s="72"/>
      <c r="P415" s="72">
        <f t="shared" si="146"/>
        <v>0</v>
      </c>
      <c r="Q415" s="72">
        <f t="shared" si="146"/>
        <v>0</v>
      </c>
      <c r="R415" s="72">
        <f t="shared" si="146"/>
        <v>0</v>
      </c>
      <c r="S415" s="73">
        <f>S416+S417+S418+S419+S420+S421+S422+S423+S424+S425+S426+S427+S428+S429+S430+S431+S432+S433</f>
        <v>0</v>
      </c>
      <c r="T415" s="72">
        <f t="shared" si="146"/>
        <v>1609175</v>
      </c>
      <c r="U415" s="72">
        <f t="shared" si="146"/>
        <v>0</v>
      </c>
      <c r="V415" s="72">
        <f t="shared" si="146"/>
        <v>0</v>
      </c>
      <c r="W415" s="72">
        <f t="shared" si="146"/>
        <v>0</v>
      </c>
      <c r="X415" s="72">
        <f t="shared" si="146"/>
        <v>0</v>
      </c>
      <c r="Y415" s="72">
        <f t="shared" si="146"/>
        <v>0</v>
      </c>
      <c r="Z415" s="72">
        <f t="shared" si="146"/>
        <v>0</v>
      </c>
      <c r="AA415" s="72">
        <f t="shared" si="146"/>
        <v>0</v>
      </c>
      <c r="AB415" s="72">
        <f t="shared" si="146"/>
        <v>0</v>
      </c>
      <c r="AC415" s="72">
        <f t="shared" si="146"/>
        <v>0</v>
      </c>
      <c r="AD415" s="72">
        <f t="shared" si="146"/>
        <v>0</v>
      </c>
      <c r="AE415" s="72">
        <f t="shared" si="146"/>
        <v>0</v>
      </c>
      <c r="AF415" s="72">
        <f t="shared" si="146"/>
        <v>0</v>
      </c>
    </row>
    <row r="416" spans="1:32" ht="22.5" x14ac:dyDescent="0.2">
      <c r="A416" s="4"/>
      <c r="B416" s="31"/>
      <c r="C416" s="42" t="s">
        <v>171</v>
      </c>
      <c r="D416" s="134" t="s">
        <v>172</v>
      </c>
      <c r="E416" s="32">
        <v>8900</v>
      </c>
      <c r="F416" s="39">
        <v>1384.09</v>
      </c>
      <c r="G416" s="38">
        <f t="shared" si="139"/>
        <v>0.15551573033707863</v>
      </c>
      <c r="H416" s="32">
        <f>F416/3*4</f>
        <v>1845.4533333333331</v>
      </c>
      <c r="I416" s="39">
        <v>11000</v>
      </c>
      <c r="J416" s="11">
        <f t="shared" si="140"/>
        <v>1.2359550561797752</v>
      </c>
      <c r="K416" s="24">
        <f>L416+T416+U416+AF416</f>
        <v>10400</v>
      </c>
      <c r="L416" s="19">
        <f>SUM(M416:S416)</f>
        <v>0</v>
      </c>
      <c r="M416" s="19"/>
      <c r="N416" s="19"/>
      <c r="O416" s="19"/>
      <c r="P416" s="19"/>
      <c r="Q416" s="19"/>
      <c r="R416" s="19"/>
      <c r="S416" s="9"/>
      <c r="T416" s="55">
        <v>10400</v>
      </c>
      <c r="U416" s="19">
        <f>SUM(V416:AE416)</f>
        <v>0</v>
      </c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x14ac:dyDescent="0.2">
      <c r="A417" s="4"/>
      <c r="B417" s="31"/>
      <c r="C417" s="42" t="s">
        <v>116</v>
      </c>
      <c r="D417" s="134" t="s">
        <v>117</v>
      </c>
      <c r="E417" s="32">
        <v>1056063.6299999999</v>
      </c>
      <c r="F417" s="39">
        <v>799050.21</v>
      </c>
      <c r="G417" s="38">
        <f t="shared" si="139"/>
        <v>0.7566307439259129</v>
      </c>
      <c r="H417" s="32">
        <v>900000</v>
      </c>
      <c r="I417" s="39">
        <v>1093217</v>
      </c>
      <c r="J417" s="11">
        <f t="shared" si="140"/>
        <v>1.0351809956754217</v>
      </c>
      <c r="K417" s="24">
        <f t="shared" ref="K417:K433" si="147">L417+T417+U417+AF417</f>
        <v>1025000</v>
      </c>
      <c r="L417" s="19">
        <f t="shared" ref="L417:L433" si="148">SUM(M417:S417)</f>
        <v>0</v>
      </c>
      <c r="M417" s="19"/>
      <c r="N417" s="19"/>
      <c r="O417" s="19"/>
      <c r="P417" s="19"/>
      <c r="Q417" s="19"/>
      <c r="R417" s="19"/>
      <c r="S417" s="9"/>
      <c r="T417" s="101">
        <v>1025000</v>
      </c>
      <c r="U417" s="19">
        <f t="shared" ref="U417:U433" si="149">SUM(V417:AE417)</f>
        <v>0</v>
      </c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x14ac:dyDescent="0.2">
      <c r="A418" s="4"/>
      <c r="B418" s="31"/>
      <c r="C418" s="42" t="s">
        <v>173</v>
      </c>
      <c r="D418" s="134" t="s">
        <v>174</v>
      </c>
      <c r="E418" s="32">
        <v>66851.520000000004</v>
      </c>
      <c r="F418" s="39">
        <v>66851.520000000004</v>
      </c>
      <c r="G418" s="38">
        <f t="shared" si="139"/>
        <v>1</v>
      </c>
      <c r="H418" s="32">
        <v>66851.520000000004</v>
      </c>
      <c r="I418" s="39">
        <v>80200</v>
      </c>
      <c r="J418" s="11">
        <f t="shared" si="140"/>
        <v>1.1996735451938862</v>
      </c>
      <c r="K418" s="24">
        <f t="shared" si="147"/>
        <v>68560</v>
      </c>
      <c r="L418" s="19">
        <f t="shared" si="148"/>
        <v>0</v>
      </c>
      <c r="M418" s="19"/>
      <c r="N418" s="19"/>
      <c r="O418" s="19"/>
      <c r="P418" s="19"/>
      <c r="Q418" s="19"/>
      <c r="R418" s="19"/>
      <c r="S418" s="9"/>
      <c r="T418" s="55">
        <v>68560</v>
      </c>
      <c r="U418" s="19">
        <f t="shared" si="149"/>
        <v>0</v>
      </c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x14ac:dyDescent="0.2">
      <c r="A419" s="4"/>
      <c r="B419" s="31"/>
      <c r="C419" s="42" t="s">
        <v>118</v>
      </c>
      <c r="D419" s="134" t="s">
        <v>119</v>
      </c>
      <c r="E419" s="32">
        <v>206113.5</v>
      </c>
      <c r="F419" s="39">
        <v>136098.79</v>
      </c>
      <c r="G419" s="38">
        <f t="shared" si="139"/>
        <v>0.66030992632699947</v>
      </c>
      <c r="H419" s="32">
        <f t="shared" ref="H419:H434" si="150">F419/3*4</f>
        <v>181465.05333333334</v>
      </c>
      <c r="I419" s="39">
        <v>213050</v>
      </c>
      <c r="J419" s="11">
        <f t="shared" si="140"/>
        <v>1.0336537878401948</v>
      </c>
      <c r="K419" s="24">
        <f t="shared" si="147"/>
        <v>202660</v>
      </c>
      <c r="L419" s="19">
        <f t="shared" si="148"/>
        <v>0</v>
      </c>
      <c r="M419" s="19"/>
      <c r="N419" s="19"/>
      <c r="O419" s="19"/>
      <c r="P419" s="19"/>
      <c r="Q419" s="19"/>
      <c r="R419" s="19"/>
      <c r="S419" s="9"/>
      <c r="T419" s="55">
        <v>202660</v>
      </c>
      <c r="U419" s="19">
        <f t="shared" si="149"/>
        <v>0</v>
      </c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x14ac:dyDescent="0.2">
      <c r="A420" s="4"/>
      <c r="B420" s="31"/>
      <c r="C420" s="42" t="s">
        <v>120</v>
      </c>
      <c r="D420" s="134" t="s">
        <v>121</v>
      </c>
      <c r="E420" s="32">
        <v>27622.35</v>
      </c>
      <c r="F420" s="39">
        <v>13645.02</v>
      </c>
      <c r="G420" s="38">
        <f t="shared" si="139"/>
        <v>0.49398476233919275</v>
      </c>
      <c r="H420" s="32">
        <f t="shared" si="150"/>
        <v>18193.36</v>
      </c>
      <c r="I420" s="39">
        <v>29830</v>
      </c>
      <c r="J420" s="11">
        <f t="shared" si="140"/>
        <v>1.0799225989099408</v>
      </c>
      <c r="K420" s="24">
        <f t="shared" si="147"/>
        <v>27131</v>
      </c>
      <c r="L420" s="19">
        <f t="shared" si="148"/>
        <v>0</v>
      </c>
      <c r="M420" s="19"/>
      <c r="N420" s="19"/>
      <c r="O420" s="19"/>
      <c r="P420" s="19"/>
      <c r="Q420" s="19"/>
      <c r="R420" s="19"/>
      <c r="S420" s="9"/>
      <c r="T420" s="55">
        <v>27131</v>
      </c>
      <c r="U420" s="19">
        <f t="shared" si="149"/>
        <v>0</v>
      </c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22.5" x14ac:dyDescent="0.2">
      <c r="A421" s="4"/>
      <c r="B421" s="31"/>
      <c r="C421" s="42" t="s">
        <v>183</v>
      </c>
      <c r="D421" s="134" t="s">
        <v>184</v>
      </c>
      <c r="E421" s="32">
        <v>5000</v>
      </c>
      <c r="F421" s="39">
        <v>0</v>
      </c>
      <c r="G421" s="38">
        <f t="shared" si="139"/>
        <v>0</v>
      </c>
      <c r="H421" s="32">
        <f t="shared" si="150"/>
        <v>0</v>
      </c>
      <c r="I421" s="39">
        <v>5000</v>
      </c>
      <c r="J421" s="11">
        <f t="shared" si="140"/>
        <v>1</v>
      </c>
      <c r="K421" s="24">
        <f t="shared" si="147"/>
        <v>5000</v>
      </c>
      <c r="L421" s="19">
        <f t="shared" si="148"/>
        <v>0</v>
      </c>
      <c r="M421" s="19"/>
      <c r="N421" s="19"/>
      <c r="O421" s="19"/>
      <c r="P421" s="19"/>
      <c r="Q421" s="19"/>
      <c r="R421" s="19"/>
      <c r="S421" s="9"/>
      <c r="T421" s="55">
        <v>5000</v>
      </c>
      <c r="U421" s="19">
        <f t="shared" si="149"/>
        <v>0</v>
      </c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x14ac:dyDescent="0.2">
      <c r="A422" s="4"/>
      <c r="B422" s="31"/>
      <c r="C422" s="42" t="s">
        <v>128</v>
      </c>
      <c r="D422" s="134" t="s">
        <v>129</v>
      </c>
      <c r="E422" s="32">
        <v>12000</v>
      </c>
      <c r="F422" s="39">
        <v>9994.5</v>
      </c>
      <c r="G422" s="38">
        <f t="shared" si="139"/>
        <v>0.83287500000000003</v>
      </c>
      <c r="H422" s="32">
        <v>12000</v>
      </c>
      <c r="I422" s="39">
        <v>12000</v>
      </c>
      <c r="J422" s="11">
        <f t="shared" si="140"/>
        <v>1</v>
      </c>
      <c r="K422" s="24">
        <f t="shared" si="147"/>
        <v>5000</v>
      </c>
      <c r="L422" s="19">
        <f t="shared" si="148"/>
        <v>0</v>
      </c>
      <c r="M422" s="19"/>
      <c r="N422" s="19"/>
      <c r="O422" s="19"/>
      <c r="P422" s="19"/>
      <c r="Q422" s="19"/>
      <c r="R422" s="19"/>
      <c r="S422" s="9"/>
      <c r="T422" s="55">
        <v>5000</v>
      </c>
      <c r="U422" s="19">
        <f t="shared" si="149"/>
        <v>0</v>
      </c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x14ac:dyDescent="0.2">
      <c r="A423" s="4"/>
      <c r="B423" s="31"/>
      <c r="C423" s="42" t="s">
        <v>122</v>
      </c>
      <c r="D423" s="134" t="s">
        <v>123</v>
      </c>
      <c r="E423" s="32">
        <v>36000</v>
      </c>
      <c r="F423" s="39">
        <v>27522.76</v>
      </c>
      <c r="G423" s="38">
        <f t="shared" si="139"/>
        <v>0.7645211111111111</v>
      </c>
      <c r="H423" s="32">
        <v>36000</v>
      </c>
      <c r="I423" s="39">
        <v>51142</v>
      </c>
      <c r="J423" s="11">
        <f t="shared" si="140"/>
        <v>1.420611111111111</v>
      </c>
      <c r="K423" s="24">
        <f t="shared" si="147"/>
        <v>44000</v>
      </c>
      <c r="L423" s="19">
        <f t="shared" si="148"/>
        <v>0</v>
      </c>
      <c r="M423" s="19"/>
      <c r="N423" s="19"/>
      <c r="O423" s="19"/>
      <c r="P423" s="19"/>
      <c r="Q423" s="19"/>
      <c r="R423" s="19"/>
      <c r="S423" s="9"/>
      <c r="T423" s="101">
        <v>44000</v>
      </c>
      <c r="U423" s="19">
        <f t="shared" si="149"/>
        <v>0</v>
      </c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x14ac:dyDescent="0.2">
      <c r="A424" s="4"/>
      <c r="B424" s="31"/>
      <c r="C424" s="42" t="s">
        <v>130</v>
      </c>
      <c r="D424" s="134" t="s">
        <v>131</v>
      </c>
      <c r="E424" s="32">
        <v>37000</v>
      </c>
      <c r="F424" s="39">
        <v>19546.91</v>
      </c>
      <c r="G424" s="38">
        <f t="shared" si="139"/>
        <v>0.52829486486486488</v>
      </c>
      <c r="H424" s="32">
        <f t="shared" si="150"/>
        <v>26062.546666666665</v>
      </c>
      <c r="I424" s="39">
        <v>37000</v>
      </c>
      <c r="J424" s="11">
        <f t="shared" si="140"/>
        <v>1</v>
      </c>
      <c r="K424" s="24">
        <f t="shared" si="147"/>
        <v>37000</v>
      </c>
      <c r="L424" s="19">
        <f t="shared" si="148"/>
        <v>0</v>
      </c>
      <c r="M424" s="19"/>
      <c r="N424" s="19"/>
      <c r="O424" s="19"/>
      <c r="P424" s="19"/>
      <c r="Q424" s="19"/>
      <c r="R424" s="19"/>
      <c r="S424" s="9"/>
      <c r="T424" s="55">
        <v>37000</v>
      </c>
      <c r="U424" s="19">
        <f t="shared" si="149"/>
        <v>0</v>
      </c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x14ac:dyDescent="0.2">
      <c r="A425" s="4"/>
      <c r="B425" s="31"/>
      <c r="C425" s="42" t="s">
        <v>140</v>
      </c>
      <c r="D425" s="134" t="s">
        <v>141</v>
      </c>
      <c r="E425" s="32">
        <v>2000</v>
      </c>
      <c r="F425" s="39">
        <v>307.5</v>
      </c>
      <c r="G425" s="38">
        <f t="shared" si="139"/>
        <v>0.15375</v>
      </c>
      <c r="H425" s="32">
        <f t="shared" si="150"/>
        <v>410</v>
      </c>
      <c r="I425" s="39">
        <v>2000</v>
      </c>
      <c r="J425" s="11">
        <f t="shared" si="140"/>
        <v>1</v>
      </c>
      <c r="K425" s="24">
        <f t="shared" si="147"/>
        <v>2000</v>
      </c>
      <c r="L425" s="19">
        <f t="shared" si="148"/>
        <v>0</v>
      </c>
      <c r="M425" s="19"/>
      <c r="N425" s="19"/>
      <c r="O425" s="19"/>
      <c r="P425" s="19"/>
      <c r="Q425" s="19"/>
      <c r="R425" s="19"/>
      <c r="S425" s="9"/>
      <c r="T425" s="55">
        <v>2000</v>
      </c>
      <c r="U425" s="19">
        <f t="shared" si="149"/>
        <v>0</v>
      </c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x14ac:dyDescent="0.2">
      <c r="A426" s="4"/>
      <c r="B426" s="31"/>
      <c r="C426" s="42" t="s">
        <v>185</v>
      </c>
      <c r="D426" s="134" t="s">
        <v>186</v>
      </c>
      <c r="E426" s="32">
        <v>3500</v>
      </c>
      <c r="F426" s="39">
        <v>1250</v>
      </c>
      <c r="G426" s="38">
        <f t="shared" si="139"/>
        <v>0.35714285714285715</v>
      </c>
      <c r="H426" s="32">
        <f t="shared" si="150"/>
        <v>1666.6666666666667</v>
      </c>
      <c r="I426" s="39">
        <v>3500</v>
      </c>
      <c r="J426" s="11">
        <f t="shared" si="140"/>
        <v>1</v>
      </c>
      <c r="K426" s="24">
        <f t="shared" si="147"/>
        <v>3500</v>
      </c>
      <c r="L426" s="19">
        <f t="shared" si="148"/>
        <v>0</v>
      </c>
      <c r="M426" s="19"/>
      <c r="N426" s="19"/>
      <c r="O426" s="19"/>
      <c r="P426" s="19"/>
      <c r="Q426" s="19"/>
      <c r="R426" s="19"/>
      <c r="S426" s="9"/>
      <c r="T426" s="55">
        <v>3500</v>
      </c>
      <c r="U426" s="19">
        <f t="shared" si="149"/>
        <v>0</v>
      </c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x14ac:dyDescent="0.2">
      <c r="A427" s="4"/>
      <c r="B427" s="31"/>
      <c r="C427" s="42" t="s">
        <v>124</v>
      </c>
      <c r="D427" s="134" t="s">
        <v>125</v>
      </c>
      <c r="E427" s="32">
        <v>125000</v>
      </c>
      <c r="F427" s="20">
        <v>92516.29</v>
      </c>
      <c r="G427" s="11">
        <f t="shared" si="139"/>
        <v>0.7401303199999999</v>
      </c>
      <c r="H427" s="32">
        <f t="shared" si="150"/>
        <v>123355.05333333333</v>
      </c>
      <c r="I427" s="39">
        <v>95000</v>
      </c>
      <c r="J427" s="11">
        <f t="shared" si="140"/>
        <v>0.76</v>
      </c>
      <c r="K427" s="24">
        <f t="shared" si="147"/>
        <v>95000</v>
      </c>
      <c r="L427" s="19">
        <f t="shared" si="148"/>
        <v>0</v>
      </c>
      <c r="M427" s="19"/>
      <c r="N427" s="19"/>
      <c r="O427" s="19"/>
      <c r="P427" s="19"/>
      <c r="Q427" s="19"/>
      <c r="R427" s="19"/>
      <c r="S427" s="9"/>
      <c r="T427" s="55">
        <v>95000</v>
      </c>
      <c r="U427" s="19">
        <f t="shared" si="149"/>
        <v>0</v>
      </c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22.5" x14ac:dyDescent="0.2">
      <c r="A428" s="4"/>
      <c r="B428" s="31"/>
      <c r="C428" s="42" t="s">
        <v>147</v>
      </c>
      <c r="D428" s="134" t="s">
        <v>148</v>
      </c>
      <c r="E428" s="32">
        <v>12000</v>
      </c>
      <c r="F428" s="20">
        <v>8596.81</v>
      </c>
      <c r="G428" s="11">
        <f t="shared" si="139"/>
        <v>0.71640083333333326</v>
      </c>
      <c r="H428" s="32">
        <f t="shared" si="150"/>
        <v>11462.413333333332</v>
      </c>
      <c r="I428" s="39">
        <v>12000</v>
      </c>
      <c r="J428" s="11">
        <f t="shared" si="140"/>
        <v>1</v>
      </c>
      <c r="K428" s="24">
        <f t="shared" si="147"/>
        <v>12000</v>
      </c>
      <c r="L428" s="19">
        <f t="shared" si="148"/>
        <v>0</v>
      </c>
      <c r="M428" s="19"/>
      <c r="N428" s="19"/>
      <c r="O428" s="19"/>
      <c r="P428" s="19"/>
      <c r="Q428" s="19"/>
      <c r="R428" s="19"/>
      <c r="S428" s="9"/>
      <c r="T428" s="55">
        <v>12000</v>
      </c>
      <c r="U428" s="19">
        <f t="shared" si="149"/>
        <v>0</v>
      </c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22.5" x14ac:dyDescent="0.2">
      <c r="A429" s="4"/>
      <c r="B429" s="31"/>
      <c r="C429" s="42" t="s">
        <v>189</v>
      </c>
      <c r="D429" s="134" t="s">
        <v>190</v>
      </c>
      <c r="E429" s="32">
        <v>21600</v>
      </c>
      <c r="F429" s="20">
        <v>16200</v>
      </c>
      <c r="G429" s="11">
        <f t="shared" si="139"/>
        <v>0.75</v>
      </c>
      <c r="H429" s="32">
        <f t="shared" si="150"/>
        <v>21600</v>
      </c>
      <c r="I429" s="39">
        <v>21600</v>
      </c>
      <c r="J429" s="11">
        <f t="shared" si="140"/>
        <v>1</v>
      </c>
      <c r="K429" s="24">
        <f t="shared" si="147"/>
        <v>21600</v>
      </c>
      <c r="L429" s="19">
        <f t="shared" si="148"/>
        <v>0</v>
      </c>
      <c r="M429" s="19"/>
      <c r="N429" s="19"/>
      <c r="O429" s="19"/>
      <c r="P429" s="19"/>
      <c r="Q429" s="19"/>
      <c r="R429" s="19"/>
      <c r="S429" s="9"/>
      <c r="T429" s="55">
        <v>21600</v>
      </c>
      <c r="U429" s="19">
        <f t="shared" si="149"/>
        <v>0</v>
      </c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x14ac:dyDescent="0.2">
      <c r="A430" s="4"/>
      <c r="B430" s="31"/>
      <c r="C430" s="42" t="s">
        <v>191</v>
      </c>
      <c r="D430" s="134" t="s">
        <v>192</v>
      </c>
      <c r="E430" s="32">
        <v>10000</v>
      </c>
      <c r="F430" s="20">
        <v>3948.09</v>
      </c>
      <c r="G430" s="11">
        <f t="shared" si="139"/>
        <v>0.39480900000000002</v>
      </c>
      <c r="H430" s="32">
        <f t="shared" si="150"/>
        <v>5264.12</v>
      </c>
      <c r="I430" s="39">
        <v>9000</v>
      </c>
      <c r="J430" s="11">
        <f t="shared" si="140"/>
        <v>0.9</v>
      </c>
      <c r="K430" s="24">
        <f t="shared" si="147"/>
        <v>10000</v>
      </c>
      <c r="L430" s="19">
        <f t="shared" si="148"/>
        <v>0</v>
      </c>
      <c r="M430" s="19"/>
      <c r="N430" s="19"/>
      <c r="O430" s="19"/>
      <c r="P430" s="19"/>
      <c r="Q430" s="19"/>
      <c r="R430" s="19"/>
      <c r="S430" s="9"/>
      <c r="T430" s="101">
        <v>10000</v>
      </c>
      <c r="U430" s="19">
        <f t="shared" si="149"/>
        <v>0</v>
      </c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x14ac:dyDescent="0.2">
      <c r="A431" s="4"/>
      <c r="B431" s="31"/>
      <c r="C431" s="42" t="s">
        <v>126</v>
      </c>
      <c r="D431" s="134" t="s">
        <v>127</v>
      </c>
      <c r="E431" s="32">
        <v>1000</v>
      </c>
      <c r="F431" s="20">
        <v>669.45</v>
      </c>
      <c r="G431" s="11">
        <f t="shared" si="139"/>
        <v>0.6694500000000001</v>
      </c>
      <c r="H431" s="32">
        <f t="shared" si="150"/>
        <v>892.6</v>
      </c>
      <c r="I431" s="39">
        <v>1000</v>
      </c>
      <c r="J431" s="11">
        <f t="shared" si="140"/>
        <v>1</v>
      </c>
      <c r="K431" s="24">
        <f t="shared" si="147"/>
        <v>1000</v>
      </c>
      <c r="L431" s="19">
        <f t="shared" si="148"/>
        <v>0</v>
      </c>
      <c r="M431" s="19"/>
      <c r="N431" s="19"/>
      <c r="O431" s="19"/>
      <c r="P431" s="19"/>
      <c r="Q431" s="19"/>
      <c r="R431" s="19"/>
      <c r="S431" s="9"/>
      <c r="T431" s="55">
        <v>1000</v>
      </c>
      <c r="U431" s="19">
        <f t="shared" si="149"/>
        <v>0</v>
      </c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22.5" x14ac:dyDescent="0.2">
      <c r="A432" s="4"/>
      <c r="B432" s="31"/>
      <c r="C432" s="42" t="s">
        <v>193</v>
      </c>
      <c r="D432" s="134" t="s">
        <v>194</v>
      </c>
      <c r="E432" s="32">
        <v>30324</v>
      </c>
      <c r="F432" s="20">
        <v>30324</v>
      </c>
      <c r="G432" s="11">
        <f t="shared" si="139"/>
        <v>1</v>
      </c>
      <c r="H432" s="32">
        <v>30324</v>
      </c>
      <c r="I432" s="39">
        <v>40110</v>
      </c>
      <c r="J432" s="11">
        <f t="shared" si="140"/>
        <v>1.3227146814404431</v>
      </c>
      <c r="K432" s="24">
        <f t="shared" si="147"/>
        <v>30324</v>
      </c>
      <c r="L432" s="19">
        <f t="shared" si="148"/>
        <v>0</v>
      </c>
      <c r="M432" s="19"/>
      <c r="N432" s="19"/>
      <c r="O432" s="19"/>
      <c r="P432" s="19"/>
      <c r="Q432" s="19"/>
      <c r="R432" s="19"/>
      <c r="S432" s="9"/>
      <c r="T432" s="55">
        <v>30324</v>
      </c>
      <c r="U432" s="19">
        <f t="shared" si="149"/>
        <v>0</v>
      </c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22.5" x14ac:dyDescent="0.2">
      <c r="A433" s="4"/>
      <c r="B433" s="31"/>
      <c r="C433" s="42" t="s">
        <v>195</v>
      </c>
      <c r="D433" s="134" t="s">
        <v>196</v>
      </c>
      <c r="E433" s="32">
        <v>7000</v>
      </c>
      <c r="F433" s="20">
        <v>2495</v>
      </c>
      <c r="G433" s="11">
        <f t="shared" si="139"/>
        <v>0.35642857142857143</v>
      </c>
      <c r="H433" s="32">
        <f t="shared" si="150"/>
        <v>3326.6666666666665</v>
      </c>
      <c r="I433" s="39">
        <v>9500</v>
      </c>
      <c r="J433" s="11">
        <f t="shared" si="140"/>
        <v>1.3571428571428572</v>
      </c>
      <c r="K433" s="24">
        <f t="shared" si="147"/>
        <v>9000</v>
      </c>
      <c r="L433" s="19">
        <f t="shared" si="148"/>
        <v>0</v>
      </c>
      <c r="M433" s="19"/>
      <c r="N433" s="19"/>
      <c r="O433" s="19"/>
      <c r="P433" s="19"/>
      <c r="Q433" s="19"/>
      <c r="R433" s="19"/>
      <c r="S433" s="9"/>
      <c r="T433" s="55">
        <v>9000</v>
      </c>
      <c r="U433" s="19">
        <f t="shared" si="149"/>
        <v>0</v>
      </c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22.5" x14ac:dyDescent="0.2">
      <c r="A434" s="4"/>
      <c r="B434" s="31"/>
      <c r="C434" s="33" t="s">
        <v>380</v>
      </c>
      <c r="D434" s="34" t="s">
        <v>382</v>
      </c>
      <c r="E434" s="32">
        <v>0</v>
      </c>
      <c r="F434" s="20">
        <v>0</v>
      </c>
      <c r="G434" s="11">
        <v>0</v>
      </c>
      <c r="H434" s="32">
        <f t="shared" si="150"/>
        <v>0</v>
      </c>
      <c r="I434" s="39">
        <v>7330</v>
      </c>
      <c r="J434" s="11">
        <v>0</v>
      </c>
      <c r="K434" s="24"/>
      <c r="L434" s="52"/>
      <c r="M434" s="52"/>
      <c r="N434" s="52"/>
      <c r="O434" s="52"/>
      <c r="P434" s="52"/>
      <c r="Q434" s="52"/>
      <c r="R434" s="52"/>
      <c r="S434" s="180"/>
      <c r="T434" s="179"/>
      <c r="U434" s="52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</row>
    <row r="435" spans="1:32" ht="22.5" x14ac:dyDescent="0.2">
      <c r="A435" s="3"/>
      <c r="B435" s="165" t="s">
        <v>75</v>
      </c>
      <c r="C435" s="166"/>
      <c r="D435" s="167" t="s">
        <v>76</v>
      </c>
      <c r="E435" s="168">
        <f>E436+E437+E438+E439</f>
        <v>808040</v>
      </c>
      <c r="F435" s="171">
        <f t="shared" ref="F435:AF435" si="151">F436+F437+F438+F439</f>
        <v>470265</v>
      </c>
      <c r="G435" s="170">
        <f t="shared" si="139"/>
        <v>0.5819823276075442</v>
      </c>
      <c r="H435" s="171">
        <f t="shared" si="151"/>
        <v>627020</v>
      </c>
      <c r="I435" s="171">
        <f t="shared" si="151"/>
        <v>644970</v>
      </c>
      <c r="J435" s="170">
        <f t="shared" si="140"/>
        <v>0.79819068362952328</v>
      </c>
      <c r="K435" s="112">
        <f t="shared" si="151"/>
        <v>872360</v>
      </c>
      <c r="L435" s="72">
        <f t="shared" si="151"/>
        <v>0</v>
      </c>
      <c r="M435" s="72">
        <f t="shared" si="151"/>
        <v>0</v>
      </c>
      <c r="N435" s="72">
        <f t="shared" si="151"/>
        <v>0</v>
      </c>
      <c r="O435" s="72"/>
      <c r="P435" s="72">
        <f t="shared" si="151"/>
        <v>0</v>
      </c>
      <c r="Q435" s="72">
        <f t="shared" si="151"/>
        <v>0</v>
      </c>
      <c r="R435" s="72">
        <f t="shared" si="151"/>
        <v>0</v>
      </c>
      <c r="S435" s="73">
        <f>S436+S437+S438+S439</f>
        <v>0</v>
      </c>
      <c r="T435" s="72">
        <f t="shared" si="151"/>
        <v>872360</v>
      </c>
      <c r="U435" s="72">
        <f t="shared" si="151"/>
        <v>0</v>
      </c>
      <c r="V435" s="72">
        <f t="shared" si="151"/>
        <v>0</v>
      </c>
      <c r="W435" s="72">
        <f t="shared" si="151"/>
        <v>0</v>
      </c>
      <c r="X435" s="72">
        <f t="shared" si="151"/>
        <v>0</v>
      </c>
      <c r="Y435" s="72">
        <f t="shared" si="151"/>
        <v>0</v>
      </c>
      <c r="Z435" s="72">
        <f t="shared" si="151"/>
        <v>0</v>
      </c>
      <c r="AA435" s="72">
        <f t="shared" si="151"/>
        <v>0</v>
      </c>
      <c r="AB435" s="72">
        <f t="shared" si="151"/>
        <v>0</v>
      </c>
      <c r="AC435" s="72">
        <f t="shared" si="151"/>
        <v>0</v>
      </c>
      <c r="AD435" s="72">
        <f t="shared" si="151"/>
        <v>0</v>
      </c>
      <c r="AE435" s="72">
        <f t="shared" si="151"/>
        <v>0</v>
      </c>
      <c r="AF435" s="72">
        <f t="shared" si="151"/>
        <v>0</v>
      </c>
    </row>
    <row r="436" spans="1:32" hidden="1" x14ac:dyDescent="0.2">
      <c r="A436" s="4"/>
      <c r="B436" s="31"/>
      <c r="C436" s="42" t="s">
        <v>116</v>
      </c>
      <c r="D436" s="134" t="s">
        <v>117</v>
      </c>
      <c r="E436" s="32" t="s">
        <v>6</v>
      </c>
      <c r="F436" s="20">
        <v>0</v>
      </c>
      <c r="G436" s="11" t="e">
        <f t="shared" si="139"/>
        <v>#DIV/0!</v>
      </c>
      <c r="H436" s="20">
        <v>0</v>
      </c>
      <c r="I436" s="20">
        <f>K436</f>
        <v>0</v>
      </c>
      <c r="J436" s="11" t="e">
        <f t="shared" si="140"/>
        <v>#DIV/0!</v>
      </c>
      <c r="K436" s="24">
        <f>L436+T436+U436</f>
        <v>0</v>
      </c>
      <c r="L436" s="19">
        <f>SUM(M436:S436)</f>
        <v>0</v>
      </c>
      <c r="M436" s="9"/>
      <c r="N436" s="9"/>
      <c r="O436" s="9"/>
      <c r="P436" s="9"/>
      <c r="Q436" s="9"/>
      <c r="R436" s="9"/>
      <c r="S436" s="9"/>
      <c r="T436" s="19">
        <v>0</v>
      </c>
      <c r="U436" s="19">
        <f>SUM(V436:AE436)</f>
        <v>0</v>
      </c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idden="1" x14ac:dyDescent="0.2">
      <c r="A437" s="4"/>
      <c r="B437" s="31"/>
      <c r="C437" s="42" t="s">
        <v>118</v>
      </c>
      <c r="D437" s="134" t="s">
        <v>119</v>
      </c>
      <c r="E437" s="32" t="s">
        <v>6</v>
      </c>
      <c r="F437" s="20">
        <v>0</v>
      </c>
      <c r="G437" s="11" t="e">
        <f t="shared" si="139"/>
        <v>#DIV/0!</v>
      </c>
      <c r="H437" s="20">
        <v>0</v>
      </c>
      <c r="I437" s="20">
        <f t="shared" ref="I437:I438" si="152">K437</f>
        <v>0</v>
      </c>
      <c r="J437" s="11" t="e">
        <f t="shared" si="140"/>
        <v>#DIV/0!</v>
      </c>
      <c r="K437" s="24">
        <f t="shared" ref="K437:K438" si="153">L437+T437+U437</f>
        <v>0</v>
      </c>
      <c r="L437" s="19">
        <f>SUM(M437:S437)</f>
        <v>0</v>
      </c>
      <c r="M437" s="9"/>
      <c r="N437" s="9"/>
      <c r="O437" s="9"/>
      <c r="P437" s="9"/>
      <c r="Q437" s="9"/>
      <c r="R437" s="9"/>
      <c r="S437" s="9"/>
      <c r="T437" s="19">
        <v>0</v>
      </c>
      <c r="U437" s="19">
        <f>SUM(V437:AE437)</f>
        <v>0</v>
      </c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idden="1" x14ac:dyDescent="0.2">
      <c r="A438" s="4"/>
      <c r="B438" s="31"/>
      <c r="C438" s="42" t="s">
        <v>120</v>
      </c>
      <c r="D438" s="134" t="s">
        <v>121</v>
      </c>
      <c r="E438" s="32" t="s">
        <v>6</v>
      </c>
      <c r="F438" s="20">
        <v>0</v>
      </c>
      <c r="G438" s="11" t="e">
        <f t="shared" si="139"/>
        <v>#DIV/0!</v>
      </c>
      <c r="H438" s="20">
        <v>0</v>
      </c>
      <c r="I438" s="20">
        <f t="shared" si="152"/>
        <v>0</v>
      </c>
      <c r="J438" s="11" t="e">
        <f t="shared" si="140"/>
        <v>#DIV/0!</v>
      </c>
      <c r="K438" s="24">
        <f t="shared" si="153"/>
        <v>0</v>
      </c>
      <c r="L438" s="19">
        <f>SUM(M438:S438)</f>
        <v>0</v>
      </c>
      <c r="M438" s="9"/>
      <c r="N438" s="9"/>
      <c r="O438" s="9"/>
      <c r="P438" s="9"/>
      <c r="Q438" s="9"/>
      <c r="R438" s="9"/>
      <c r="S438" s="9"/>
      <c r="T438" s="19">
        <v>0</v>
      </c>
      <c r="U438" s="19">
        <f>SUM(V438:AE438)</f>
        <v>0</v>
      </c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x14ac:dyDescent="0.2">
      <c r="A439" s="4"/>
      <c r="B439" s="31"/>
      <c r="C439" s="42" t="s">
        <v>124</v>
      </c>
      <c r="D439" s="134" t="s">
        <v>125</v>
      </c>
      <c r="E439" s="32">
        <v>808040</v>
      </c>
      <c r="F439" s="20">
        <v>470265</v>
      </c>
      <c r="G439" s="11">
        <f t="shared" si="139"/>
        <v>0.5819823276075442</v>
      </c>
      <c r="H439" s="20">
        <f>F439/3*4</f>
        <v>627020</v>
      </c>
      <c r="I439" s="20">
        <v>644970</v>
      </c>
      <c r="J439" s="11">
        <f t="shared" si="140"/>
        <v>0.79819068362952328</v>
      </c>
      <c r="K439" s="24">
        <f>L439+T439+U439+AF439</f>
        <v>872360</v>
      </c>
      <c r="L439" s="19">
        <f>SUM(M439:S439)</f>
        <v>0</v>
      </c>
      <c r="M439" s="9"/>
      <c r="N439" s="9"/>
      <c r="O439" s="9"/>
      <c r="P439" s="9"/>
      <c r="Q439" s="9"/>
      <c r="R439" s="9"/>
      <c r="S439" s="9"/>
      <c r="T439" s="55">
        <v>872360</v>
      </c>
      <c r="U439" s="19">
        <f>SUM(V439:AE439)</f>
        <v>0</v>
      </c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5.75" x14ac:dyDescent="0.2">
      <c r="A440" s="3"/>
      <c r="B440" s="165" t="s">
        <v>78</v>
      </c>
      <c r="C440" s="166"/>
      <c r="D440" s="167" t="s">
        <v>79</v>
      </c>
      <c r="E440" s="168">
        <f>E441</f>
        <v>350000</v>
      </c>
      <c r="F440" s="171">
        <f t="shared" ref="F440:AF440" si="154">F441</f>
        <v>176135.3</v>
      </c>
      <c r="G440" s="170">
        <f t="shared" si="139"/>
        <v>0.50324371428571424</v>
      </c>
      <c r="H440" s="171">
        <f t="shared" si="154"/>
        <v>234847.06666666665</v>
      </c>
      <c r="I440" s="171">
        <f t="shared" si="154"/>
        <v>130000</v>
      </c>
      <c r="J440" s="170">
        <f t="shared" si="140"/>
        <v>0.37142857142857144</v>
      </c>
      <c r="K440" s="112">
        <f t="shared" si="154"/>
        <v>140000</v>
      </c>
      <c r="L440" s="72">
        <f t="shared" si="154"/>
        <v>0</v>
      </c>
      <c r="M440" s="72">
        <f t="shared" si="154"/>
        <v>0</v>
      </c>
      <c r="N440" s="72">
        <f t="shared" si="154"/>
        <v>0</v>
      </c>
      <c r="O440" s="72"/>
      <c r="P440" s="72">
        <f t="shared" si="154"/>
        <v>0</v>
      </c>
      <c r="Q440" s="72">
        <f t="shared" si="154"/>
        <v>0</v>
      </c>
      <c r="R440" s="72">
        <f t="shared" si="154"/>
        <v>0</v>
      </c>
      <c r="S440" s="73">
        <f>S441</f>
        <v>0</v>
      </c>
      <c r="T440" s="72">
        <f t="shared" si="154"/>
        <v>140000</v>
      </c>
      <c r="U440" s="72">
        <f t="shared" si="154"/>
        <v>0</v>
      </c>
      <c r="V440" s="72">
        <f t="shared" si="154"/>
        <v>0</v>
      </c>
      <c r="W440" s="72">
        <f t="shared" si="154"/>
        <v>0</v>
      </c>
      <c r="X440" s="72">
        <f t="shared" si="154"/>
        <v>0</v>
      </c>
      <c r="Y440" s="72">
        <f t="shared" si="154"/>
        <v>0</v>
      </c>
      <c r="Z440" s="72">
        <f t="shared" si="154"/>
        <v>0</v>
      </c>
      <c r="AA440" s="72">
        <f t="shared" si="154"/>
        <v>0</v>
      </c>
      <c r="AB440" s="72">
        <f t="shared" si="154"/>
        <v>0</v>
      </c>
      <c r="AC440" s="72">
        <f t="shared" si="154"/>
        <v>0</v>
      </c>
      <c r="AD440" s="72">
        <f t="shared" si="154"/>
        <v>0</v>
      </c>
      <c r="AE440" s="72">
        <f t="shared" si="154"/>
        <v>0</v>
      </c>
      <c r="AF440" s="72">
        <f t="shared" si="154"/>
        <v>0</v>
      </c>
    </row>
    <row r="441" spans="1:32" x14ac:dyDescent="0.2">
      <c r="A441" s="4"/>
      <c r="B441" s="31"/>
      <c r="C441" s="42" t="s">
        <v>286</v>
      </c>
      <c r="D441" s="134" t="s">
        <v>287</v>
      </c>
      <c r="E441" s="32">
        <v>350000</v>
      </c>
      <c r="F441" s="20">
        <v>176135.3</v>
      </c>
      <c r="G441" s="11">
        <f t="shared" si="139"/>
        <v>0.50324371428571424</v>
      </c>
      <c r="H441" s="20">
        <f>F441/3*4</f>
        <v>234847.06666666665</v>
      </c>
      <c r="I441" s="20">
        <v>130000</v>
      </c>
      <c r="J441" s="11">
        <f t="shared" si="140"/>
        <v>0.37142857142857144</v>
      </c>
      <c r="K441" s="24">
        <f>L441+T441+U441+AF441</f>
        <v>140000</v>
      </c>
      <c r="L441" s="19">
        <f>SUM(M441:S441)</f>
        <v>0</v>
      </c>
      <c r="M441" s="19"/>
      <c r="N441" s="19"/>
      <c r="O441" s="19"/>
      <c r="P441" s="19"/>
      <c r="Q441" s="19"/>
      <c r="R441" s="19"/>
      <c r="S441" s="9"/>
      <c r="T441" s="55">
        <v>140000</v>
      </c>
      <c r="U441" s="19">
        <f>SUM(V441:AE441)</f>
        <v>0</v>
      </c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5.75" x14ac:dyDescent="0.2">
      <c r="A442" s="3"/>
      <c r="B442" s="165" t="s">
        <v>288</v>
      </c>
      <c r="C442" s="166"/>
      <c r="D442" s="167" t="s">
        <v>289</v>
      </c>
      <c r="E442" s="168">
        <f>E443</f>
        <v>150000</v>
      </c>
      <c r="F442" s="171">
        <f t="shared" ref="F442:AF442" si="155">F443</f>
        <v>150000</v>
      </c>
      <c r="G442" s="170">
        <f t="shared" si="139"/>
        <v>1</v>
      </c>
      <c r="H442" s="171">
        <f t="shared" si="155"/>
        <v>150000</v>
      </c>
      <c r="I442" s="171">
        <f t="shared" si="155"/>
        <v>150000</v>
      </c>
      <c r="J442" s="170">
        <f t="shared" si="140"/>
        <v>1</v>
      </c>
      <c r="K442" s="112">
        <f t="shared" si="155"/>
        <v>150000</v>
      </c>
      <c r="L442" s="72">
        <f t="shared" si="155"/>
        <v>150000</v>
      </c>
      <c r="M442" s="72">
        <f t="shared" si="155"/>
        <v>0</v>
      </c>
      <c r="N442" s="72">
        <f t="shared" si="155"/>
        <v>0</v>
      </c>
      <c r="O442" s="72"/>
      <c r="P442" s="72">
        <f t="shared" si="155"/>
        <v>0</v>
      </c>
      <c r="Q442" s="72">
        <f t="shared" si="155"/>
        <v>150000</v>
      </c>
      <c r="R442" s="72">
        <f t="shared" si="155"/>
        <v>0</v>
      </c>
      <c r="S442" s="73">
        <f>S443</f>
        <v>0</v>
      </c>
      <c r="T442" s="72">
        <f t="shared" si="155"/>
        <v>0</v>
      </c>
      <c r="U442" s="72">
        <f t="shared" si="155"/>
        <v>0</v>
      </c>
      <c r="V442" s="72">
        <f t="shared" si="155"/>
        <v>0</v>
      </c>
      <c r="W442" s="72">
        <f t="shared" si="155"/>
        <v>0</v>
      </c>
      <c r="X442" s="72">
        <f t="shared" si="155"/>
        <v>0</v>
      </c>
      <c r="Y442" s="72">
        <f t="shared" si="155"/>
        <v>0</v>
      </c>
      <c r="Z442" s="72">
        <f t="shared" si="155"/>
        <v>0</v>
      </c>
      <c r="AA442" s="72">
        <f t="shared" si="155"/>
        <v>0</v>
      </c>
      <c r="AB442" s="72">
        <f t="shared" si="155"/>
        <v>0</v>
      </c>
      <c r="AC442" s="72">
        <f t="shared" si="155"/>
        <v>0</v>
      </c>
      <c r="AD442" s="72">
        <f t="shared" si="155"/>
        <v>0</v>
      </c>
      <c r="AE442" s="72">
        <f t="shared" si="155"/>
        <v>0</v>
      </c>
      <c r="AF442" s="72">
        <f t="shared" si="155"/>
        <v>0</v>
      </c>
    </row>
    <row r="443" spans="1:32" ht="22.5" x14ac:dyDescent="0.2">
      <c r="A443" s="4"/>
      <c r="B443" s="31"/>
      <c r="C443" s="33" t="s">
        <v>377</v>
      </c>
      <c r="D443" s="34" t="s">
        <v>386</v>
      </c>
      <c r="E443" s="32">
        <v>150000</v>
      </c>
      <c r="F443" s="20">
        <v>150000</v>
      </c>
      <c r="G443" s="11">
        <f t="shared" si="139"/>
        <v>1</v>
      </c>
      <c r="H443" s="20">
        <v>150000</v>
      </c>
      <c r="I443" s="20">
        <v>150000</v>
      </c>
      <c r="J443" s="11">
        <f t="shared" si="140"/>
        <v>1</v>
      </c>
      <c r="K443" s="24">
        <f>L443+T443+U443+AF443</f>
        <v>150000</v>
      </c>
      <c r="L443" s="19">
        <f>SUM(M443:S443)</f>
        <v>150000</v>
      </c>
      <c r="M443" s="9"/>
      <c r="N443" s="9"/>
      <c r="O443" s="9"/>
      <c r="P443" s="9"/>
      <c r="Q443" s="55">
        <v>150000</v>
      </c>
      <c r="R443" s="9"/>
      <c r="S443" s="9"/>
      <c r="T443" s="9"/>
      <c r="U443" s="19">
        <f>SUM(V443:AE443)</f>
        <v>0</v>
      </c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5.75" x14ac:dyDescent="0.2">
      <c r="A444" s="3"/>
      <c r="B444" s="165" t="s">
        <v>290</v>
      </c>
      <c r="C444" s="166"/>
      <c r="D444" s="167" t="s">
        <v>10</v>
      </c>
      <c r="E444" s="168">
        <f>E448+E449+E445+E446+E447</f>
        <v>17320</v>
      </c>
      <c r="F444" s="168">
        <f>F448+F449+F445+F446+F447</f>
        <v>3817.89</v>
      </c>
      <c r="G444" s="170">
        <f t="shared" si="139"/>
        <v>0.2204324480369515</v>
      </c>
      <c r="H444" s="171">
        <f t="shared" ref="H444:AF444" si="156">H448+H449</f>
        <v>5090.5199999999995</v>
      </c>
      <c r="I444" s="171">
        <f>I448+I449+I445+I446+I447</f>
        <v>30600.000000000004</v>
      </c>
      <c r="J444" s="170">
        <f t="shared" si="140"/>
        <v>1.7667436489607393</v>
      </c>
      <c r="K444" s="112">
        <f t="shared" si="156"/>
        <v>8000</v>
      </c>
      <c r="L444" s="72">
        <f t="shared" si="156"/>
        <v>0</v>
      </c>
      <c r="M444" s="72">
        <f t="shared" si="156"/>
        <v>0</v>
      </c>
      <c r="N444" s="72">
        <f t="shared" si="156"/>
        <v>0</v>
      </c>
      <c r="O444" s="72"/>
      <c r="P444" s="72">
        <f t="shared" si="156"/>
        <v>0</v>
      </c>
      <c r="Q444" s="72">
        <f t="shared" si="156"/>
        <v>0</v>
      </c>
      <c r="R444" s="72">
        <f t="shared" si="156"/>
        <v>0</v>
      </c>
      <c r="S444" s="73">
        <f>S448+S449</f>
        <v>0</v>
      </c>
      <c r="T444" s="72">
        <f t="shared" si="156"/>
        <v>8000</v>
      </c>
      <c r="U444" s="72">
        <f t="shared" si="156"/>
        <v>0</v>
      </c>
      <c r="V444" s="72">
        <f t="shared" si="156"/>
        <v>0</v>
      </c>
      <c r="W444" s="72">
        <f t="shared" si="156"/>
        <v>0</v>
      </c>
      <c r="X444" s="72">
        <f t="shared" si="156"/>
        <v>0</v>
      </c>
      <c r="Y444" s="72">
        <f t="shared" si="156"/>
        <v>0</v>
      </c>
      <c r="Z444" s="72">
        <f t="shared" si="156"/>
        <v>0</v>
      </c>
      <c r="AA444" s="72">
        <f t="shared" si="156"/>
        <v>0</v>
      </c>
      <c r="AB444" s="72">
        <f t="shared" si="156"/>
        <v>0</v>
      </c>
      <c r="AC444" s="72">
        <f t="shared" si="156"/>
        <v>0</v>
      </c>
      <c r="AD444" s="72">
        <f t="shared" si="156"/>
        <v>0</v>
      </c>
      <c r="AE444" s="72">
        <f t="shared" si="156"/>
        <v>0</v>
      </c>
      <c r="AF444" s="72">
        <f t="shared" si="156"/>
        <v>0</v>
      </c>
    </row>
    <row r="445" spans="1:32" ht="15" x14ac:dyDescent="0.2">
      <c r="A445" s="3"/>
      <c r="B445" s="143"/>
      <c r="C445" s="137" t="s">
        <v>116</v>
      </c>
      <c r="D445" s="144" t="s">
        <v>117</v>
      </c>
      <c r="E445" s="145">
        <v>3609.93</v>
      </c>
      <c r="F445" s="45">
        <v>0</v>
      </c>
      <c r="G445" s="14">
        <v>0</v>
      </c>
      <c r="H445" s="45">
        <f>F445/3*4</f>
        <v>0</v>
      </c>
      <c r="I445" s="45">
        <v>18049.63</v>
      </c>
      <c r="J445" s="14">
        <v>0</v>
      </c>
      <c r="K445" s="150"/>
      <c r="L445" s="151"/>
      <c r="M445" s="151"/>
      <c r="N445" s="151"/>
      <c r="O445" s="151"/>
      <c r="P445" s="151"/>
      <c r="Q445" s="151"/>
      <c r="R445" s="151"/>
      <c r="S445" s="152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</row>
    <row r="446" spans="1:32" ht="15" x14ac:dyDescent="0.2">
      <c r="A446" s="3"/>
      <c r="B446" s="143"/>
      <c r="C446" s="137" t="s">
        <v>118</v>
      </c>
      <c r="D446" s="144" t="s">
        <v>384</v>
      </c>
      <c r="E446" s="145">
        <v>621.63</v>
      </c>
      <c r="F446" s="45">
        <v>0</v>
      </c>
      <c r="G446" s="14">
        <v>0</v>
      </c>
      <c r="H446" s="45">
        <f t="shared" ref="H446:H449" si="157">F446/3*4</f>
        <v>0</v>
      </c>
      <c r="I446" s="45">
        <v>3108.15</v>
      </c>
      <c r="J446" s="14">
        <v>0</v>
      </c>
      <c r="K446" s="150"/>
      <c r="L446" s="151"/>
      <c r="M446" s="151"/>
      <c r="N446" s="151"/>
      <c r="O446" s="151"/>
      <c r="P446" s="151"/>
      <c r="Q446" s="151"/>
      <c r="R446" s="151"/>
      <c r="S446" s="152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</row>
    <row r="447" spans="1:32" ht="22.5" x14ac:dyDescent="0.2">
      <c r="A447" s="3"/>
      <c r="B447" s="143"/>
      <c r="C447" s="137" t="s">
        <v>120</v>
      </c>
      <c r="D447" s="144" t="s">
        <v>385</v>
      </c>
      <c r="E447" s="145">
        <v>88.44</v>
      </c>
      <c r="F447" s="45">
        <v>0</v>
      </c>
      <c r="G447" s="14">
        <v>0</v>
      </c>
      <c r="H447" s="45">
        <f t="shared" si="157"/>
        <v>0</v>
      </c>
      <c r="I447" s="45">
        <v>442.22</v>
      </c>
      <c r="J447" s="14">
        <v>0</v>
      </c>
      <c r="K447" s="150"/>
      <c r="L447" s="151"/>
      <c r="M447" s="151"/>
      <c r="N447" s="151"/>
      <c r="O447" s="151"/>
      <c r="P447" s="151"/>
      <c r="Q447" s="151"/>
      <c r="R447" s="151"/>
      <c r="S447" s="152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/>
      <c r="AF447" s="151"/>
    </row>
    <row r="448" spans="1:32" x14ac:dyDescent="0.2">
      <c r="A448" s="4"/>
      <c r="B448" s="31"/>
      <c r="C448" s="42" t="s">
        <v>122</v>
      </c>
      <c r="D448" s="134" t="s">
        <v>123</v>
      </c>
      <c r="E448" s="32">
        <v>8000</v>
      </c>
      <c r="F448" s="20">
        <v>3572.74</v>
      </c>
      <c r="G448" s="11">
        <f t="shared" si="139"/>
        <v>0.44659249999999995</v>
      </c>
      <c r="H448" s="45">
        <f t="shared" si="157"/>
        <v>4763.6533333333327</v>
      </c>
      <c r="I448" s="20">
        <v>6000</v>
      </c>
      <c r="J448" s="11">
        <f t="shared" si="140"/>
        <v>0.75</v>
      </c>
      <c r="K448" s="24">
        <f>L448+T448+U448+AF448</f>
        <v>5000</v>
      </c>
      <c r="L448" s="19">
        <f>SUM(M448:S448)</f>
        <v>0</v>
      </c>
      <c r="M448" s="9"/>
      <c r="N448" s="9"/>
      <c r="O448" s="9"/>
      <c r="P448" s="19"/>
      <c r="Q448" s="19"/>
      <c r="R448" s="19"/>
      <c r="S448" s="9"/>
      <c r="T448" s="101">
        <v>5000</v>
      </c>
      <c r="U448" s="19">
        <f>SUM(V448:AE448)</f>
        <v>0</v>
      </c>
      <c r="V448" s="19"/>
      <c r="W448" s="19"/>
      <c r="X448" s="19"/>
      <c r="Y448" s="19"/>
      <c r="Z448" s="19"/>
      <c r="AA448" s="9"/>
      <c r="AB448" s="9"/>
      <c r="AC448" s="9"/>
      <c r="AD448" s="9"/>
      <c r="AE448" s="9"/>
      <c r="AF448" s="9"/>
    </row>
    <row r="449" spans="1:32" x14ac:dyDescent="0.2">
      <c r="A449" s="4"/>
      <c r="B449" s="31"/>
      <c r="C449" s="42" t="s">
        <v>124</v>
      </c>
      <c r="D449" s="134" t="s">
        <v>125</v>
      </c>
      <c r="E449" s="32">
        <v>5000</v>
      </c>
      <c r="F449" s="20">
        <v>245.15</v>
      </c>
      <c r="G449" s="11">
        <f t="shared" si="139"/>
        <v>4.9030000000000004E-2</v>
      </c>
      <c r="H449" s="45">
        <f t="shared" si="157"/>
        <v>326.86666666666667</v>
      </c>
      <c r="I449" s="20">
        <v>3000</v>
      </c>
      <c r="J449" s="11">
        <f t="shared" si="140"/>
        <v>0.6</v>
      </c>
      <c r="K449" s="24">
        <f>L449+T449+U449+AF449</f>
        <v>3000</v>
      </c>
      <c r="L449" s="19">
        <f>SUM(M449:S449)</f>
        <v>0</v>
      </c>
      <c r="M449" s="9"/>
      <c r="N449" s="9"/>
      <c r="O449" s="9"/>
      <c r="P449" s="19"/>
      <c r="Q449" s="19"/>
      <c r="R449" s="19"/>
      <c r="S449" s="9"/>
      <c r="T449" s="101">
        <v>3000</v>
      </c>
      <c r="U449" s="19">
        <f>SUM(V449:AE449)</f>
        <v>0</v>
      </c>
      <c r="V449" s="19"/>
      <c r="W449" s="19"/>
      <c r="X449" s="19"/>
      <c r="Y449" s="19"/>
      <c r="Z449" s="19"/>
      <c r="AA449" s="9"/>
      <c r="AB449" s="9"/>
      <c r="AC449" s="9"/>
      <c r="AD449" s="9"/>
      <c r="AE449" s="9"/>
      <c r="AF449" s="9"/>
    </row>
    <row r="450" spans="1:32" hidden="1" x14ac:dyDescent="0.2">
      <c r="A450" s="4"/>
      <c r="B450" s="31"/>
      <c r="C450" s="42" t="s">
        <v>267</v>
      </c>
      <c r="D450" s="134" t="s">
        <v>125</v>
      </c>
      <c r="E450" s="32">
        <v>0</v>
      </c>
      <c r="F450" s="20">
        <v>0</v>
      </c>
      <c r="G450" s="11">
        <v>0</v>
      </c>
      <c r="H450" s="32">
        <v>0</v>
      </c>
      <c r="I450" s="20">
        <f t="shared" ref="I450:I453" si="158">K450</f>
        <v>0</v>
      </c>
      <c r="J450" s="11">
        <v>0</v>
      </c>
      <c r="K450" s="24">
        <f t="shared" ref="K450:K453" si="159">L450+T450+U450</f>
        <v>0</v>
      </c>
      <c r="L450" s="19">
        <f t="shared" ref="L450:L453" si="160">SUM(M450:S450)</f>
        <v>0</v>
      </c>
      <c r="M450" s="19"/>
      <c r="N450" s="19"/>
      <c r="O450" s="19"/>
      <c r="P450" s="19"/>
      <c r="Q450" s="19"/>
      <c r="R450" s="19"/>
      <c r="S450" s="19"/>
      <c r="T450" s="19"/>
      <c r="U450" s="19">
        <f t="shared" ref="U450:U453" si="161">SUM(V450:AE450)</f>
        <v>0</v>
      </c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</row>
    <row r="451" spans="1:32" hidden="1" x14ac:dyDescent="0.2">
      <c r="A451" s="4"/>
      <c r="B451" s="31"/>
      <c r="C451" s="42" t="s">
        <v>291</v>
      </c>
      <c r="D451" s="134" t="s">
        <v>192</v>
      </c>
      <c r="E451" s="32">
        <v>0</v>
      </c>
      <c r="F451" s="20">
        <v>0</v>
      </c>
      <c r="G451" s="11">
        <v>0</v>
      </c>
      <c r="H451" s="32">
        <v>0</v>
      </c>
      <c r="I451" s="20">
        <f t="shared" si="158"/>
        <v>0</v>
      </c>
      <c r="J451" s="11">
        <v>0</v>
      </c>
      <c r="K451" s="24">
        <f t="shared" si="159"/>
        <v>0</v>
      </c>
      <c r="L451" s="19">
        <f t="shared" si="160"/>
        <v>0</v>
      </c>
      <c r="M451" s="19"/>
      <c r="N451" s="19"/>
      <c r="O451" s="19"/>
      <c r="P451" s="19"/>
      <c r="Q451" s="19"/>
      <c r="R451" s="19"/>
      <c r="S451" s="19"/>
      <c r="T451" s="19"/>
      <c r="U451" s="19">
        <f t="shared" si="161"/>
        <v>0</v>
      </c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</row>
    <row r="452" spans="1:32" hidden="1" x14ac:dyDescent="0.2">
      <c r="A452" s="4"/>
      <c r="B452" s="31"/>
      <c r="C452" s="42" t="s">
        <v>292</v>
      </c>
      <c r="D452" s="134" t="s">
        <v>192</v>
      </c>
      <c r="E452" s="32">
        <v>0</v>
      </c>
      <c r="F452" s="20">
        <v>0</v>
      </c>
      <c r="G452" s="11">
        <v>0</v>
      </c>
      <c r="H452" s="32">
        <v>0</v>
      </c>
      <c r="I452" s="20">
        <f t="shared" si="158"/>
        <v>0</v>
      </c>
      <c r="J452" s="11">
        <v>0</v>
      </c>
      <c r="K452" s="24">
        <f t="shared" si="159"/>
        <v>0</v>
      </c>
      <c r="L452" s="19">
        <f t="shared" si="160"/>
        <v>0</v>
      </c>
      <c r="M452" s="19"/>
      <c r="N452" s="19"/>
      <c r="O452" s="19"/>
      <c r="P452" s="19"/>
      <c r="Q452" s="19"/>
      <c r="R452" s="19"/>
      <c r="S452" s="19"/>
      <c r="T452" s="19"/>
      <c r="U452" s="19">
        <f t="shared" si="161"/>
        <v>0</v>
      </c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</row>
    <row r="453" spans="1:32" hidden="1" x14ac:dyDescent="0.2">
      <c r="A453" s="13"/>
      <c r="B453" s="119"/>
      <c r="C453" s="65" t="s">
        <v>293</v>
      </c>
      <c r="D453" s="66" t="s">
        <v>127</v>
      </c>
      <c r="E453" s="67">
        <v>0</v>
      </c>
      <c r="F453" s="40">
        <v>0</v>
      </c>
      <c r="G453" s="14">
        <v>0</v>
      </c>
      <c r="H453" s="67">
        <v>0</v>
      </c>
      <c r="I453" s="20">
        <f t="shared" si="158"/>
        <v>0</v>
      </c>
      <c r="J453" s="11">
        <v>0</v>
      </c>
      <c r="K453" s="24">
        <f t="shared" si="159"/>
        <v>0</v>
      </c>
      <c r="L453" s="19">
        <f t="shared" si="160"/>
        <v>0</v>
      </c>
      <c r="M453" s="21"/>
      <c r="N453" s="21"/>
      <c r="O453" s="21"/>
      <c r="P453" s="21"/>
      <c r="Q453" s="21"/>
      <c r="R453" s="21"/>
      <c r="S453" s="21"/>
      <c r="T453" s="21"/>
      <c r="U453" s="19">
        <f t="shared" si="161"/>
        <v>0</v>
      </c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</row>
    <row r="454" spans="1:32" ht="24.75" customHeight="1" x14ac:dyDescent="0.2">
      <c r="A454" s="155" t="s">
        <v>80</v>
      </c>
      <c r="B454" s="156"/>
      <c r="C454" s="157"/>
      <c r="D454" s="158" t="s">
        <v>81</v>
      </c>
      <c r="E454" s="159">
        <f>E455+E467+E470</f>
        <v>1436985</v>
      </c>
      <c r="F454" s="135">
        <f>F455+F467+F470</f>
        <v>1072329.19</v>
      </c>
      <c r="G454" s="87">
        <f t="shared" ref="G454:G515" si="162">F454/E454</f>
        <v>0.74623547914557209</v>
      </c>
      <c r="H454" s="135">
        <f>H455+H467+H470</f>
        <v>1364634.5066666666</v>
      </c>
      <c r="I454" s="135">
        <f>I455+I467+I470</f>
        <v>1409168</v>
      </c>
      <c r="J454" s="87">
        <f t="shared" ref="J454:J515" si="163">I454/E454</f>
        <v>0.98064210830314857</v>
      </c>
      <c r="K454" s="108" t="e">
        <f>K455+K467+K470</f>
        <v>#REF!</v>
      </c>
      <c r="L454" s="12" t="e">
        <f>L455+L467+L470</f>
        <v>#REF!</v>
      </c>
      <c r="M454" s="12" t="e">
        <f>M455+M467+M470</f>
        <v>#REF!</v>
      </c>
      <c r="N454" s="12" t="e">
        <f>N455+N467+N470</f>
        <v>#REF!</v>
      </c>
      <c r="O454" s="12"/>
      <c r="P454" s="12" t="e">
        <f t="shared" ref="P454:AF454" si="164">P455+P467+P470</f>
        <v>#REF!</v>
      </c>
      <c r="Q454" s="12" t="e">
        <f t="shared" si="164"/>
        <v>#REF!</v>
      </c>
      <c r="R454" s="12" t="e">
        <f t="shared" si="164"/>
        <v>#REF!</v>
      </c>
      <c r="S454" s="16" t="e">
        <f t="shared" si="164"/>
        <v>#REF!</v>
      </c>
      <c r="T454" s="12" t="e">
        <f t="shared" si="164"/>
        <v>#REF!</v>
      </c>
      <c r="U454" s="12" t="e">
        <f t="shared" si="164"/>
        <v>#REF!</v>
      </c>
      <c r="V454" s="12" t="e">
        <f t="shared" si="164"/>
        <v>#REF!</v>
      </c>
      <c r="W454" s="12" t="e">
        <f t="shared" si="164"/>
        <v>#REF!</v>
      </c>
      <c r="X454" s="12" t="e">
        <f t="shared" si="164"/>
        <v>#REF!</v>
      </c>
      <c r="Y454" s="12" t="e">
        <f t="shared" si="164"/>
        <v>#REF!</v>
      </c>
      <c r="Z454" s="12" t="e">
        <f t="shared" si="164"/>
        <v>#REF!</v>
      </c>
      <c r="AA454" s="12" t="e">
        <f t="shared" si="164"/>
        <v>#REF!</v>
      </c>
      <c r="AB454" s="12" t="e">
        <f t="shared" si="164"/>
        <v>#REF!</v>
      </c>
      <c r="AC454" s="12" t="e">
        <f t="shared" si="164"/>
        <v>#REF!</v>
      </c>
      <c r="AD454" s="12" t="e">
        <f t="shared" si="164"/>
        <v>#REF!</v>
      </c>
      <c r="AE454" s="12" t="e">
        <f t="shared" si="164"/>
        <v>#REF!</v>
      </c>
      <c r="AF454" s="12" t="e">
        <f t="shared" si="164"/>
        <v>#REF!</v>
      </c>
    </row>
    <row r="455" spans="1:32" ht="15.75" x14ac:dyDescent="0.2">
      <c r="A455" s="3"/>
      <c r="B455" s="165" t="s">
        <v>294</v>
      </c>
      <c r="C455" s="166"/>
      <c r="D455" s="167" t="s">
        <v>295</v>
      </c>
      <c r="E455" s="168">
        <f>E456+E457+E458+E459+E460+E461+E462+E463+E464+E465+E466</f>
        <v>1137081</v>
      </c>
      <c r="F455" s="168">
        <f>F456+F457+F458+F459+F460+F461+F462+F463+F464+F465+F466</f>
        <v>878491.58999999985</v>
      </c>
      <c r="G455" s="170">
        <f t="shared" si="162"/>
        <v>0.7725848818158072</v>
      </c>
      <c r="H455" s="171">
        <f>H456+H457+H458+H459+H460+H461+H462+H463+H464+H465+H466</f>
        <v>1106184.3733333333</v>
      </c>
      <c r="I455" s="171">
        <f>I456+I457+I458+I459+I460+I461+I462+I463+I464+I465+I466</f>
        <v>1331790</v>
      </c>
      <c r="J455" s="170">
        <f t="shared" si="163"/>
        <v>1.17123582225013</v>
      </c>
      <c r="K455" s="112" t="e">
        <f>K456+K457+K458+K459+K460+K461+K462+K463+#REF!+K464+K465</f>
        <v>#REF!</v>
      </c>
      <c r="L455" s="72" t="e">
        <f>L456+L457+L458+L459+L460+L461+L462+L463+#REF!+L464+L465</f>
        <v>#REF!</v>
      </c>
      <c r="M455" s="72" t="e">
        <f>M456+M457+M458+M459+M460+M461+M462+M463+#REF!+M464+M465</f>
        <v>#REF!</v>
      </c>
      <c r="N455" s="72" t="e">
        <f>N456+N457+N458+N459+N460+N461+N462+N463+#REF!+N464+N465</f>
        <v>#REF!</v>
      </c>
      <c r="O455" s="72"/>
      <c r="P455" s="72" t="e">
        <f>P456+P457+P458+P459+P460+P461+P462+P463+#REF!+P464+P465</f>
        <v>#REF!</v>
      </c>
      <c r="Q455" s="72" t="e">
        <f>Q456+Q457+Q458+Q459+Q460+Q461+Q462+Q463+#REF!+Q464+Q465</f>
        <v>#REF!</v>
      </c>
      <c r="R455" s="72" t="e">
        <f>R456+R457+R458+R459+R460+R461+R462+R463+#REF!+R464+R465</f>
        <v>#REF!</v>
      </c>
      <c r="S455" s="73" t="e">
        <f>S456+S457+S458+S459+S460+S461+S462+S463+#REF!+S464+S465</f>
        <v>#REF!</v>
      </c>
      <c r="T455" s="72" t="e">
        <f>T456+T457+T458+T459+T460+T461+T462+T463+#REF!+T464+T465</f>
        <v>#REF!</v>
      </c>
      <c r="U455" s="72" t="e">
        <f>U456+U457+U458+U459+U460+U461+U462+U463+#REF!+U464+U465</f>
        <v>#REF!</v>
      </c>
      <c r="V455" s="72" t="e">
        <f>V456+V457+V458+V459+V460+V461+V462+V463+#REF!+V464+V465</f>
        <v>#REF!</v>
      </c>
      <c r="W455" s="72" t="e">
        <f>W456+W457+W458+W459+W460+W461+W462+W463+#REF!+W464+W465</f>
        <v>#REF!</v>
      </c>
      <c r="X455" s="72" t="e">
        <f>X456+X457+X458+X459+X460+X461+X462+X463+#REF!+X464+X465</f>
        <v>#REF!</v>
      </c>
      <c r="Y455" s="72" t="e">
        <f>Y456+Y457+Y458+Y459+Y460+Y461+Y462+Y463+#REF!+Y464+Y465</f>
        <v>#REF!</v>
      </c>
      <c r="Z455" s="72" t="e">
        <f>Z456+Z457+Z458+Z459+Z460+Z461+Z462+Z463+#REF!+Z464+Z465</f>
        <v>#REF!</v>
      </c>
      <c r="AA455" s="72" t="e">
        <f>AA456+AA457+AA458+AA459+AA460+AA461+AA462+AA463+#REF!+AA464+AA465</f>
        <v>#REF!</v>
      </c>
      <c r="AB455" s="72" t="e">
        <f>AB456+AB457+AB458+AB459+AB460+AB461+AB462+AB463+#REF!+AB464+AB465</f>
        <v>#REF!</v>
      </c>
      <c r="AC455" s="72" t="e">
        <f>AC456+AC457+AC458+AC459+AC460+AC461+AC462+AC463+#REF!+AC464+AC465</f>
        <v>#REF!</v>
      </c>
      <c r="AD455" s="72" t="e">
        <f>AD456+AD457+AD458+AD459+AD460+AD461+AD462+AD463+#REF!+AD464+AD465</f>
        <v>#REF!</v>
      </c>
      <c r="AE455" s="72" t="e">
        <f>AE456+AE457+AE458+AE459+AE460+AE461+AE462+AE463+#REF!+AE464+AE465</f>
        <v>#REF!</v>
      </c>
      <c r="AF455" s="72" t="e">
        <f>AF456+AF457+AF458+AF459+AF460+AF461+AF462+AF463+#REF!+AF464+AF465</f>
        <v>#REF!</v>
      </c>
    </row>
    <row r="456" spans="1:32" ht="22.5" x14ac:dyDescent="0.2">
      <c r="A456" s="4"/>
      <c r="B456" s="31"/>
      <c r="C456" s="42" t="s">
        <v>171</v>
      </c>
      <c r="D456" s="134" t="s">
        <v>172</v>
      </c>
      <c r="E456" s="32">
        <v>3362</v>
      </c>
      <c r="F456" s="20">
        <v>1102.82</v>
      </c>
      <c r="G456" s="11">
        <f t="shared" si="162"/>
        <v>0.32802498512790002</v>
      </c>
      <c r="H456" s="32">
        <f>F456/3*4</f>
        <v>1470.4266666666665</v>
      </c>
      <c r="I456" s="20">
        <v>4377</v>
      </c>
      <c r="J456" s="11">
        <f t="shared" si="163"/>
        <v>1.3019036287923855</v>
      </c>
      <c r="K456" s="24">
        <f>L456+T456+U456+AF456</f>
        <v>3362</v>
      </c>
      <c r="L456" s="19">
        <f>SUM(M456:S456)</f>
        <v>0</v>
      </c>
      <c r="M456" s="19"/>
      <c r="N456" s="19"/>
      <c r="O456" s="19"/>
      <c r="P456" s="19"/>
      <c r="Q456" s="19"/>
      <c r="R456" s="19"/>
      <c r="S456" s="19"/>
      <c r="T456" s="19"/>
      <c r="U456" s="19">
        <f>SUM(V456:AE456)</f>
        <v>3362</v>
      </c>
      <c r="V456" s="101">
        <v>120</v>
      </c>
      <c r="W456" s="55">
        <v>750</v>
      </c>
      <c r="X456" s="55">
        <v>617</v>
      </c>
      <c r="Y456" s="55">
        <v>827</v>
      </c>
      <c r="Z456" s="55">
        <v>758</v>
      </c>
      <c r="AA456" s="55">
        <v>290</v>
      </c>
      <c r="AB456" s="19"/>
      <c r="AC456" s="19"/>
      <c r="AD456" s="19"/>
      <c r="AE456" s="19"/>
      <c r="AF456" s="19"/>
    </row>
    <row r="457" spans="1:32" x14ac:dyDescent="0.2">
      <c r="A457" s="4"/>
      <c r="B457" s="31"/>
      <c r="C457" s="42" t="s">
        <v>116</v>
      </c>
      <c r="D457" s="134" t="s">
        <v>117</v>
      </c>
      <c r="E457" s="32">
        <v>802123</v>
      </c>
      <c r="F457" s="20">
        <v>638735.54</v>
      </c>
      <c r="G457" s="11">
        <f t="shared" si="162"/>
        <v>0.79630622734917222</v>
      </c>
      <c r="H457" s="32">
        <v>800000</v>
      </c>
      <c r="I457" s="20">
        <v>943375</v>
      </c>
      <c r="J457" s="11">
        <f t="shared" si="163"/>
        <v>1.1760976807796311</v>
      </c>
      <c r="K457" s="24">
        <f t="shared" ref="K457:K465" si="165">L457+T457+U457+AF457</f>
        <v>744700</v>
      </c>
      <c r="L457" s="19">
        <f t="shared" ref="L457:L465" si="166">SUM(M457:S457)</f>
        <v>0</v>
      </c>
      <c r="M457" s="19"/>
      <c r="N457" s="19"/>
      <c r="O457" s="19"/>
      <c r="P457" s="19"/>
      <c r="Q457" s="19"/>
      <c r="R457" s="19"/>
      <c r="S457" s="19"/>
      <c r="T457" s="19"/>
      <c r="U457" s="19">
        <f t="shared" ref="U457:U465" si="167">SUM(V457:AE457)</f>
        <v>744700</v>
      </c>
      <c r="V457" s="101">
        <v>102360</v>
      </c>
      <c r="W457" s="55">
        <v>243620</v>
      </c>
      <c r="X457" s="55">
        <v>39420</v>
      </c>
      <c r="Y457" s="55">
        <v>119100</v>
      </c>
      <c r="Z457" s="55">
        <v>195900</v>
      </c>
      <c r="AA457" s="55">
        <v>44300</v>
      </c>
      <c r="AB457" s="19"/>
      <c r="AC457" s="19"/>
      <c r="AD457" s="19"/>
      <c r="AE457" s="19"/>
      <c r="AF457" s="19"/>
    </row>
    <row r="458" spans="1:32" x14ac:dyDescent="0.2">
      <c r="A458" s="4"/>
      <c r="B458" s="31"/>
      <c r="C458" s="42" t="s">
        <v>173</v>
      </c>
      <c r="D458" s="134" t="s">
        <v>174</v>
      </c>
      <c r="E458" s="32">
        <v>59930</v>
      </c>
      <c r="F458" s="20">
        <v>59930</v>
      </c>
      <c r="G458" s="11">
        <f t="shared" si="162"/>
        <v>1</v>
      </c>
      <c r="H458" s="32">
        <v>59930</v>
      </c>
      <c r="I458" s="20">
        <v>78434</v>
      </c>
      <c r="J458" s="11">
        <f t="shared" si="163"/>
        <v>1.3087602202569664</v>
      </c>
      <c r="K458" s="24">
        <f t="shared" si="165"/>
        <v>59930</v>
      </c>
      <c r="L458" s="19">
        <f t="shared" si="166"/>
        <v>0</v>
      </c>
      <c r="M458" s="19"/>
      <c r="N458" s="19"/>
      <c r="O458" s="19"/>
      <c r="P458" s="19"/>
      <c r="Q458" s="19"/>
      <c r="R458" s="19"/>
      <c r="S458" s="19"/>
      <c r="T458" s="19"/>
      <c r="U458" s="19">
        <f t="shared" si="167"/>
        <v>59930</v>
      </c>
      <c r="V458" s="55">
        <v>12830</v>
      </c>
      <c r="W458" s="55">
        <v>16420</v>
      </c>
      <c r="X458" s="55">
        <v>4150</v>
      </c>
      <c r="Y458" s="55">
        <v>8130</v>
      </c>
      <c r="Z458" s="55">
        <v>15300</v>
      </c>
      <c r="AA458" s="55">
        <v>3100</v>
      </c>
      <c r="AB458" s="19"/>
      <c r="AC458" s="19"/>
      <c r="AD458" s="19"/>
      <c r="AE458" s="19"/>
      <c r="AF458" s="19"/>
    </row>
    <row r="459" spans="1:32" x14ac:dyDescent="0.2">
      <c r="A459" s="4"/>
      <c r="B459" s="31"/>
      <c r="C459" s="42" t="s">
        <v>118</v>
      </c>
      <c r="D459" s="134" t="s">
        <v>119</v>
      </c>
      <c r="E459" s="32">
        <v>161309</v>
      </c>
      <c r="F459" s="20">
        <v>109899.31</v>
      </c>
      <c r="G459" s="11">
        <f t="shared" si="162"/>
        <v>0.68129682782733758</v>
      </c>
      <c r="H459" s="32">
        <v>160000</v>
      </c>
      <c r="I459" s="20">
        <v>174908</v>
      </c>
      <c r="J459" s="11">
        <f t="shared" si="163"/>
        <v>1.0843040375924469</v>
      </c>
      <c r="K459" s="24">
        <f t="shared" si="165"/>
        <v>148799</v>
      </c>
      <c r="L459" s="19">
        <f t="shared" si="166"/>
        <v>0</v>
      </c>
      <c r="M459" s="19"/>
      <c r="N459" s="19"/>
      <c r="O459" s="19"/>
      <c r="P459" s="19"/>
      <c r="Q459" s="19"/>
      <c r="R459" s="19"/>
      <c r="S459" s="19"/>
      <c r="T459" s="19"/>
      <c r="U459" s="19">
        <f t="shared" si="167"/>
        <v>148799</v>
      </c>
      <c r="V459" s="55">
        <v>35530</v>
      </c>
      <c r="W459" s="55">
        <v>41300</v>
      </c>
      <c r="X459" s="55">
        <v>7490</v>
      </c>
      <c r="Y459" s="55">
        <v>20330</v>
      </c>
      <c r="Z459" s="55">
        <v>35995</v>
      </c>
      <c r="AA459" s="55">
        <v>8154</v>
      </c>
      <c r="AB459" s="19"/>
      <c r="AC459" s="19"/>
      <c r="AD459" s="19"/>
      <c r="AE459" s="19"/>
      <c r="AF459" s="19"/>
    </row>
    <row r="460" spans="1:32" x14ac:dyDescent="0.2">
      <c r="A460" s="4"/>
      <c r="B460" s="31"/>
      <c r="C460" s="42" t="s">
        <v>120</v>
      </c>
      <c r="D460" s="134" t="s">
        <v>121</v>
      </c>
      <c r="E460" s="32">
        <v>25620</v>
      </c>
      <c r="F460" s="20">
        <v>11926.71</v>
      </c>
      <c r="G460" s="11">
        <f t="shared" si="162"/>
        <v>0.46552341920374701</v>
      </c>
      <c r="H460" s="32">
        <v>25000</v>
      </c>
      <c r="I460" s="20">
        <v>24821</v>
      </c>
      <c r="J460" s="11">
        <f t="shared" si="163"/>
        <v>0.96881342701014828</v>
      </c>
      <c r="K460" s="24">
        <f t="shared" si="165"/>
        <v>21219</v>
      </c>
      <c r="L460" s="19">
        <f t="shared" si="166"/>
        <v>0</v>
      </c>
      <c r="M460" s="19"/>
      <c r="N460" s="19"/>
      <c r="O460" s="19"/>
      <c r="P460" s="19"/>
      <c r="Q460" s="19"/>
      <c r="R460" s="19"/>
      <c r="S460" s="19"/>
      <c r="T460" s="19"/>
      <c r="U460" s="19">
        <f t="shared" si="167"/>
        <v>21219</v>
      </c>
      <c r="V460" s="55">
        <v>5064</v>
      </c>
      <c r="W460" s="55">
        <v>5887</v>
      </c>
      <c r="X460" s="55">
        <v>1067</v>
      </c>
      <c r="Y460" s="55">
        <v>2900</v>
      </c>
      <c r="Z460" s="55">
        <v>5131</v>
      </c>
      <c r="AA460" s="55">
        <v>1170</v>
      </c>
      <c r="AB460" s="19"/>
      <c r="AC460" s="19"/>
      <c r="AD460" s="19"/>
      <c r="AE460" s="19"/>
      <c r="AF460" s="19"/>
    </row>
    <row r="461" spans="1:32" x14ac:dyDescent="0.2">
      <c r="A461" s="4"/>
      <c r="B461" s="31"/>
      <c r="C461" s="42" t="s">
        <v>122</v>
      </c>
      <c r="D461" s="134" t="s">
        <v>123</v>
      </c>
      <c r="E461" s="32">
        <v>7400</v>
      </c>
      <c r="F461" s="20">
        <v>1845.12</v>
      </c>
      <c r="G461" s="11">
        <f t="shared" si="162"/>
        <v>0.24934054054054053</v>
      </c>
      <c r="H461" s="32">
        <f t="shared" ref="H461:H466" si="168">F461/3*4</f>
        <v>2460.16</v>
      </c>
      <c r="I461" s="20">
        <v>10150</v>
      </c>
      <c r="J461" s="11">
        <f t="shared" si="163"/>
        <v>1.3716216216216217</v>
      </c>
      <c r="K461" s="24">
        <f t="shared" si="165"/>
        <v>7400</v>
      </c>
      <c r="L461" s="19">
        <f t="shared" si="166"/>
        <v>0</v>
      </c>
      <c r="M461" s="19"/>
      <c r="N461" s="19"/>
      <c r="O461" s="19"/>
      <c r="P461" s="19"/>
      <c r="Q461" s="19"/>
      <c r="R461" s="19"/>
      <c r="S461" s="19"/>
      <c r="T461" s="19"/>
      <c r="U461" s="19">
        <f t="shared" si="167"/>
        <v>7400</v>
      </c>
      <c r="V461" s="101">
        <v>1700</v>
      </c>
      <c r="W461" s="55">
        <v>3200</v>
      </c>
      <c r="X461" s="101">
        <v>0</v>
      </c>
      <c r="Y461" s="55">
        <v>2500</v>
      </c>
      <c r="Z461" s="101">
        <v>0</v>
      </c>
      <c r="AA461" s="19"/>
      <c r="AB461" s="19"/>
      <c r="AC461" s="19"/>
      <c r="AD461" s="19"/>
      <c r="AE461" s="19"/>
      <c r="AF461" s="19"/>
    </row>
    <row r="462" spans="1:32" x14ac:dyDescent="0.2">
      <c r="A462" s="4"/>
      <c r="B462" s="31"/>
      <c r="C462" s="42" t="s">
        <v>231</v>
      </c>
      <c r="D462" s="134" t="s">
        <v>232</v>
      </c>
      <c r="E462" s="32">
        <v>11500</v>
      </c>
      <c r="F462" s="20">
        <v>238.84</v>
      </c>
      <c r="G462" s="11">
        <f t="shared" si="162"/>
        <v>2.0768695652173912E-2</v>
      </c>
      <c r="H462" s="32">
        <f t="shared" si="168"/>
        <v>318.45333333333332</v>
      </c>
      <c r="I462" s="20">
        <v>12500</v>
      </c>
      <c r="J462" s="11">
        <f t="shared" si="163"/>
        <v>1.0869565217391304</v>
      </c>
      <c r="K462" s="24">
        <f t="shared" si="165"/>
        <v>11500</v>
      </c>
      <c r="L462" s="19">
        <f t="shared" si="166"/>
        <v>0</v>
      </c>
      <c r="M462" s="19"/>
      <c r="N462" s="19"/>
      <c r="O462" s="19"/>
      <c r="P462" s="19"/>
      <c r="Q462" s="19"/>
      <c r="R462" s="19"/>
      <c r="S462" s="19"/>
      <c r="T462" s="19"/>
      <c r="U462" s="19">
        <f t="shared" si="167"/>
        <v>11500</v>
      </c>
      <c r="V462" s="55">
        <v>3500</v>
      </c>
      <c r="W462" s="55">
        <v>6000</v>
      </c>
      <c r="X462" s="55">
        <v>1000</v>
      </c>
      <c r="Y462" s="19"/>
      <c r="Z462" s="55">
        <v>1000</v>
      </c>
      <c r="AA462" s="19"/>
      <c r="AB462" s="19"/>
      <c r="AC462" s="19"/>
      <c r="AD462" s="19"/>
      <c r="AE462" s="19"/>
      <c r="AF462" s="19"/>
    </row>
    <row r="463" spans="1:32" x14ac:dyDescent="0.2">
      <c r="A463" s="4"/>
      <c r="B463" s="31"/>
      <c r="C463" s="42" t="s">
        <v>130</v>
      </c>
      <c r="D463" s="134" t="s">
        <v>131</v>
      </c>
      <c r="E463" s="32">
        <v>14000</v>
      </c>
      <c r="F463" s="20">
        <v>4202.16</v>
      </c>
      <c r="G463" s="11">
        <f t="shared" si="162"/>
        <v>0.30015428571428571</v>
      </c>
      <c r="H463" s="32">
        <f t="shared" si="168"/>
        <v>5602.88</v>
      </c>
      <c r="I463" s="20">
        <v>14000</v>
      </c>
      <c r="J463" s="11">
        <f t="shared" si="163"/>
        <v>1</v>
      </c>
      <c r="K463" s="24">
        <f t="shared" si="165"/>
        <v>14000</v>
      </c>
      <c r="L463" s="19">
        <f t="shared" si="166"/>
        <v>0</v>
      </c>
      <c r="M463" s="19"/>
      <c r="N463" s="19"/>
      <c r="O463" s="19"/>
      <c r="P463" s="19"/>
      <c r="Q463" s="19"/>
      <c r="R463" s="19"/>
      <c r="S463" s="19"/>
      <c r="T463" s="19"/>
      <c r="U463" s="19">
        <f t="shared" si="167"/>
        <v>14000</v>
      </c>
      <c r="V463" s="55">
        <v>6500</v>
      </c>
      <c r="W463" s="19"/>
      <c r="X463" s="19"/>
      <c r="Y463" s="19"/>
      <c r="Z463" s="55">
        <v>7500</v>
      </c>
      <c r="AA463" s="19"/>
      <c r="AB463" s="19"/>
      <c r="AC463" s="19"/>
      <c r="AD463" s="19"/>
      <c r="AE463" s="19"/>
      <c r="AF463" s="19"/>
    </row>
    <row r="464" spans="1:32" x14ac:dyDescent="0.2">
      <c r="A464" s="4"/>
      <c r="B464" s="31"/>
      <c r="C464" s="42" t="s">
        <v>124</v>
      </c>
      <c r="D464" s="134" t="s">
        <v>125</v>
      </c>
      <c r="E464" s="32">
        <v>3600</v>
      </c>
      <c r="F464" s="20">
        <v>2374.09</v>
      </c>
      <c r="G464" s="11">
        <f t="shared" si="162"/>
        <v>0.65946944444444444</v>
      </c>
      <c r="H464" s="32">
        <f t="shared" si="168"/>
        <v>3165.4533333333334</v>
      </c>
      <c r="I464" s="20">
        <v>4500</v>
      </c>
      <c r="J464" s="11">
        <f t="shared" si="163"/>
        <v>1.25</v>
      </c>
      <c r="K464" s="24">
        <f t="shared" si="165"/>
        <v>3600</v>
      </c>
      <c r="L464" s="19">
        <f t="shared" si="166"/>
        <v>0</v>
      </c>
      <c r="M464" s="19"/>
      <c r="N464" s="19"/>
      <c r="O464" s="19"/>
      <c r="P464" s="19"/>
      <c r="Q464" s="19"/>
      <c r="R464" s="19"/>
      <c r="S464" s="19"/>
      <c r="T464" s="19"/>
      <c r="U464" s="19">
        <f t="shared" si="167"/>
        <v>3600</v>
      </c>
      <c r="V464" s="55">
        <v>3600</v>
      </c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</row>
    <row r="465" spans="1:32" ht="22.5" x14ac:dyDescent="0.2">
      <c r="A465" s="4"/>
      <c r="B465" s="31"/>
      <c r="C465" s="42" t="s">
        <v>193</v>
      </c>
      <c r="D465" s="134" t="s">
        <v>194</v>
      </c>
      <c r="E465" s="32">
        <v>48237</v>
      </c>
      <c r="F465" s="20">
        <v>48237</v>
      </c>
      <c r="G465" s="11">
        <f t="shared" si="162"/>
        <v>1</v>
      </c>
      <c r="H465" s="32">
        <v>48237</v>
      </c>
      <c r="I465" s="20">
        <v>53330</v>
      </c>
      <c r="J465" s="11">
        <f t="shared" si="163"/>
        <v>1.1055828513381845</v>
      </c>
      <c r="K465" s="24">
        <f t="shared" si="165"/>
        <v>107191</v>
      </c>
      <c r="L465" s="19">
        <f t="shared" si="166"/>
        <v>0</v>
      </c>
      <c r="M465" s="19"/>
      <c r="N465" s="19"/>
      <c r="O465" s="19"/>
      <c r="P465" s="19"/>
      <c r="Q465" s="19"/>
      <c r="R465" s="19"/>
      <c r="S465" s="19"/>
      <c r="T465" s="19"/>
      <c r="U465" s="19">
        <f t="shared" si="167"/>
        <v>107191</v>
      </c>
      <c r="V465" s="55">
        <v>9387</v>
      </c>
      <c r="W465" s="55">
        <v>74484</v>
      </c>
      <c r="X465" s="55">
        <v>2900</v>
      </c>
      <c r="Y465" s="55">
        <v>7444</v>
      </c>
      <c r="Z465" s="55">
        <v>9881</v>
      </c>
      <c r="AA465" s="55">
        <v>3095</v>
      </c>
      <c r="AB465" s="19"/>
      <c r="AC465" s="19"/>
      <c r="AD465" s="19"/>
      <c r="AE465" s="19"/>
      <c r="AF465" s="19"/>
    </row>
    <row r="466" spans="1:32" ht="22.5" x14ac:dyDescent="0.2">
      <c r="A466" s="4"/>
      <c r="B466" s="31"/>
      <c r="C466" s="33" t="s">
        <v>380</v>
      </c>
      <c r="D466" s="34" t="s">
        <v>382</v>
      </c>
      <c r="E466" s="32">
        <v>0</v>
      </c>
      <c r="F466" s="20">
        <v>0</v>
      </c>
      <c r="G466" s="11">
        <v>0</v>
      </c>
      <c r="H466" s="32">
        <f t="shared" si="168"/>
        <v>0</v>
      </c>
      <c r="I466" s="20">
        <v>11395</v>
      </c>
      <c r="J466" s="11">
        <v>0</v>
      </c>
      <c r="K466" s="24"/>
      <c r="L466" s="52"/>
      <c r="M466" s="52"/>
      <c r="N466" s="52"/>
      <c r="O466" s="52"/>
      <c r="P466" s="52"/>
      <c r="Q466" s="52"/>
      <c r="R466" s="52"/>
      <c r="S466" s="53"/>
      <c r="T466" s="52"/>
      <c r="U466" s="52"/>
      <c r="V466" s="179"/>
      <c r="W466" s="179"/>
      <c r="X466" s="179"/>
      <c r="Y466" s="179"/>
      <c r="Z466" s="179"/>
      <c r="AA466" s="179"/>
      <c r="AB466" s="52"/>
      <c r="AC466" s="52"/>
      <c r="AD466" s="52"/>
      <c r="AE466" s="52"/>
      <c r="AF466" s="52"/>
    </row>
    <row r="467" spans="1:32" ht="22.5" x14ac:dyDescent="0.2">
      <c r="A467" s="3"/>
      <c r="B467" s="165" t="s">
        <v>82</v>
      </c>
      <c r="C467" s="166"/>
      <c r="D467" s="167" t="s">
        <v>83</v>
      </c>
      <c r="E467" s="168">
        <f>E468+E469</f>
        <v>280304</v>
      </c>
      <c r="F467" s="168">
        <f>F468+F469</f>
        <v>181337.60000000001</v>
      </c>
      <c r="G467" s="170">
        <f t="shared" si="162"/>
        <v>0.64693190250585086</v>
      </c>
      <c r="H467" s="171">
        <f>H468+H469</f>
        <v>241783.46666666667</v>
      </c>
      <c r="I467" s="171">
        <f>I468+I469</f>
        <v>56778</v>
      </c>
      <c r="J467" s="170">
        <f t="shared" si="163"/>
        <v>0.20255865060791142</v>
      </c>
      <c r="K467" s="112">
        <f t="shared" ref="K467:AF467" si="169">K468</f>
        <v>51412</v>
      </c>
      <c r="L467" s="72">
        <f t="shared" si="169"/>
        <v>0</v>
      </c>
      <c r="M467" s="72">
        <f t="shared" si="169"/>
        <v>0</v>
      </c>
      <c r="N467" s="72">
        <f t="shared" si="169"/>
        <v>0</v>
      </c>
      <c r="O467" s="72"/>
      <c r="P467" s="72">
        <f t="shared" si="169"/>
        <v>0</v>
      </c>
      <c r="Q467" s="72">
        <f t="shared" si="169"/>
        <v>0</v>
      </c>
      <c r="R467" s="72">
        <f t="shared" si="169"/>
        <v>0</v>
      </c>
      <c r="S467" s="73">
        <f>S468</f>
        <v>0</v>
      </c>
      <c r="T467" s="72">
        <f t="shared" si="169"/>
        <v>0</v>
      </c>
      <c r="U467" s="72">
        <f t="shared" si="169"/>
        <v>51412</v>
      </c>
      <c r="V467" s="72">
        <f t="shared" si="169"/>
        <v>0</v>
      </c>
      <c r="W467" s="72">
        <f t="shared" si="169"/>
        <v>0</v>
      </c>
      <c r="X467" s="72">
        <f t="shared" si="169"/>
        <v>0</v>
      </c>
      <c r="Y467" s="72">
        <f t="shared" si="169"/>
        <v>0</v>
      </c>
      <c r="Z467" s="72">
        <f t="shared" si="169"/>
        <v>0</v>
      </c>
      <c r="AA467" s="72">
        <f t="shared" si="169"/>
        <v>0</v>
      </c>
      <c r="AB467" s="72">
        <f t="shared" si="169"/>
        <v>0</v>
      </c>
      <c r="AC467" s="72">
        <f t="shared" si="169"/>
        <v>0</v>
      </c>
      <c r="AD467" s="72">
        <f t="shared" si="169"/>
        <v>0</v>
      </c>
      <c r="AE467" s="72">
        <f t="shared" si="169"/>
        <v>51412</v>
      </c>
      <c r="AF467" s="72">
        <f t="shared" si="169"/>
        <v>0</v>
      </c>
    </row>
    <row r="468" spans="1:32" x14ac:dyDescent="0.2">
      <c r="A468" s="4"/>
      <c r="B468" s="31"/>
      <c r="C468" s="42" t="s">
        <v>296</v>
      </c>
      <c r="D468" s="134" t="s">
        <v>254</v>
      </c>
      <c r="E468" s="32">
        <v>280304</v>
      </c>
      <c r="F468" s="20">
        <v>181337.60000000001</v>
      </c>
      <c r="G468" s="11">
        <f t="shared" si="162"/>
        <v>0.64693190250585086</v>
      </c>
      <c r="H468" s="20">
        <f>F468/3*4</f>
        <v>241783.46666666667</v>
      </c>
      <c r="I468" s="20">
        <v>56778</v>
      </c>
      <c r="J468" s="11">
        <f t="shared" si="163"/>
        <v>0.20255865060791142</v>
      </c>
      <c r="K468" s="24">
        <f>L468+T468+U468+AF471</f>
        <v>51412</v>
      </c>
      <c r="L468" s="19">
        <f>SUM(M468:S468)</f>
        <v>0</v>
      </c>
      <c r="M468" s="19"/>
      <c r="N468" s="19"/>
      <c r="O468" s="19"/>
      <c r="P468" s="19"/>
      <c r="Q468" s="19"/>
      <c r="R468" s="19"/>
      <c r="S468" s="19"/>
      <c r="T468" s="19"/>
      <c r="U468" s="19">
        <f>SUM(V468:AE468)</f>
        <v>51412</v>
      </c>
      <c r="V468" s="19">
        <v>0</v>
      </c>
      <c r="W468" s="19"/>
      <c r="X468" s="21"/>
      <c r="Y468" s="19"/>
      <c r="Z468" s="19"/>
      <c r="AA468" s="19"/>
      <c r="AB468" s="19"/>
      <c r="AC468" s="19"/>
      <c r="AD468" s="19"/>
      <c r="AE468" s="55">
        <v>51412</v>
      </c>
      <c r="AF468" s="19"/>
    </row>
    <row r="469" spans="1:32" hidden="1" x14ac:dyDescent="0.2">
      <c r="A469" s="4"/>
      <c r="B469" s="31"/>
      <c r="C469" s="33" t="s">
        <v>363</v>
      </c>
      <c r="D469" s="134"/>
      <c r="E469" s="32"/>
      <c r="F469" s="20"/>
      <c r="G469" s="11">
        <v>0</v>
      </c>
      <c r="H469" s="20"/>
      <c r="I469" s="20"/>
      <c r="J469" s="11" t="e">
        <f t="shared" si="163"/>
        <v>#DIV/0!</v>
      </c>
      <c r="K469" s="24" t="e">
        <f>L469+T469+U469+AF472</f>
        <v>#REF!</v>
      </c>
      <c r="L469" s="19">
        <f>SUM(M469:S469)</f>
        <v>0</v>
      </c>
      <c r="M469" s="52"/>
      <c r="N469" s="52"/>
      <c r="O469" s="52"/>
      <c r="P469" s="52"/>
      <c r="Q469" s="52"/>
      <c r="R469" s="52"/>
      <c r="S469" s="53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</row>
    <row r="470" spans="1:32" ht="22.5" x14ac:dyDescent="0.2">
      <c r="A470" s="3"/>
      <c r="B470" s="165" t="s">
        <v>297</v>
      </c>
      <c r="C470" s="166"/>
      <c r="D470" s="167" t="s">
        <v>298</v>
      </c>
      <c r="E470" s="168">
        <f>E471</f>
        <v>19600</v>
      </c>
      <c r="F470" s="171">
        <f t="shared" ref="F470:AF470" si="170">F471</f>
        <v>12500</v>
      </c>
      <c r="G470" s="170">
        <f t="shared" si="162"/>
        <v>0.63775510204081631</v>
      </c>
      <c r="H470" s="171">
        <f t="shared" si="170"/>
        <v>16666.666666666668</v>
      </c>
      <c r="I470" s="171">
        <f t="shared" si="170"/>
        <v>20600</v>
      </c>
      <c r="J470" s="170">
        <f t="shared" si="163"/>
        <v>1.0510204081632653</v>
      </c>
      <c r="K470" s="112">
        <f t="shared" si="170"/>
        <v>19600</v>
      </c>
      <c r="L470" s="72">
        <f t="shared" si="170"/>
        <v>0</v>
      </c>
      <c r="M470" s="72">
        <f t="shared" si="170"/>
        <v>0</v>
      </c>
      <c r="N470" s="72">
        <f t="shared" si="170"/>
        <v>0</v>
      </c>
      <c r="O470" s="72"/>
      <c r="P470" s="72">
        <f t="shared" si="170"/>
        <v>0</v>
      </c>
      <c r="Q470" s="72">
        <f t="shared" si="170"/>
        <v>0</v>
      </c>
      <c r="R470" s="72">
        <f t="shared" si="170"/>
        <v>0</v>
      </c>
      <c r="S470" s="73">
        <f>S471</f>
        <v>0</v>
      </c>
      <c r="T470" s="72">
        <f t="shared" si="170"/>
        <v>0</v>
      </c>
      <c r="U470" s="72">
        <f t="shared" si="170"/>
        <v>19600</v>
      </c>
      <c r="V470" s="72">
        <f t="shared" si="170"/>
        <v>6000</v>
      </c>
      <c r="W470" s="72">
        <f t="shared" si="170"/>
        <v>7000</v>
      </c>
      <c r="X470" s="72">
        <f t="shared" si="170"/>
        <v>1500</v>
      </c>
      <c r="Y470" s="72">
        <f t="shared" si="170"/>
        <v>1600</v>
      </c>
      <c r="Z470" s="72">
        <f t="shared" si="170"/>
        <v>2500</v>
      </c>
      <c r="AA470" s="72">
        <f t="shared" si="170"/>
        <v>1000</v>
      </c>
      <c r="AB470" s="72">
        <f t="shared" si="170"/>
        <v>0</v>
      </c>
      <c r="AC470" s="72">
        <f t="shared" si="170"/>
        <v>0</v>
      </c>
      <c r="AD470" s="72">
        <f t="shared" si="170"/>
        <v>0</v>
      </c>
      <c r="AE470" s="72">
        <f t="shared" si="170"/>
        <v>0</v>
      </c>
      <c r="AF470" s="72">
        <f t="shared" si="170"/>
        <v>0</v>
      </c>
    </row>
    <row r="471" spans="1:32" x14ac:dyDescent="0.2">
      <c r="A471" s="4"/>
      <c r="B471" s="31"/>
      <c r="C471" s="42" t="s">
        <v>296</v>
      </c>
      <c r="D471" s="134" t="s">
        <v>254</v>
      </c>
      <c r="E471" s="32">
        <v>19600</v>
      </c>
      <c r="F471" s="20">
        <v>12500</v>
      </c>
      <c r="G471" s="11">
        <f t="shared" si="162"/>
        <v>0.63775510204081631</v>
      </c>
      <c r="H471" s="20">
        <f>F471/3*4</f>
        <v>16666.666666666668</v>
      </c>
      <c r="I471" s="20">
        <v>20600</v>
      </c>
      <c r="J471" s="11">
        <f t="shared" si="163"/>
        <v>1.0510204081632653</v>
      </c>
      <c r="K471" s="24">
        <f>L471+T471+U471+AF471</f>
        <v>19600</v>
      </c>
      <c r="L471" s="19">
        <f>SUM(M471:S471)</f>
        <v>0</v>
      </c>
      <c r="M471" s="18"/>
      <c r="N471" s="18"/>
      <c r="O471" s="18"/>
      <c r="P471" s="18"/>
      <c r="Q471" s="18"/>
      <c r="R471" s="18"/>
      <c r="S471" s="18"/>
      <c r="T471" s="18"/>
      <c r="U471" s="19">
        <f>SUM(V471:AE471)</f>
        <v>19600</v>
      </c>
      <c r="V471" s="55">
        <v>6000</v>
      </c>
      <c r="W471" s="55">
        <v>7000</v>
      </c>
      <c r="X471" s="55">
        <v>1500</v>
      </c>
      <c r="Y471" s="55">
        <v>1600</v>
      </c>
      <c r="Z471" s="55">
        <v>2500</v>
      </c>
      <c r="AA471" s="55">
        <v>1000</v>
      </c>
      <c r="AB471" s="18"/>
      <c r="AC471" s="18"/>
      <c r="AD471" s="18"/>
      <c r="AE471" s="18"/>
      <c r="AF471" s="18"/>
    </row>
    <row r="472" spans="1:32" ht="13.5" customHeight="1" x14ac:dyDescent="0.2">
      <c r="A472" s="155" t="s">
        <v>84</v>
      </c>
      <c r="B472" s="156"/>
      <c r="C472" s="157"/>
      <c r="D472" s="158" t="s">
        <v>85</v>
      </c>
      <c r="E472" s="159">
        <f>E473+E490+E507+E511+E523+E525+E527</f>
        <v>27138248.050000001</v>
      </c>
      <c r="F472" s="135">
        <f>F473+F490+F507+F511+F523+F525+F527</f>
        <v>23532835.860000003</v>
      </c>
      <c r="G472" s="87">
        <f t="shared" si="162"/>
        <v>0.8671464648949585</v>
      </c>
      <c r="H472" s="135">
        <f>H473+H490+H507+H511+H523+H525+H527</f>
        <v>27000317.66333333</v>
      </c>
      <c r="I472" s="135">
        <f>I473+I490+I507+I511+I523+I525+I527</f>
        <v>27134152</v>
      </c>
      <c r="J472" s="87">
        <f t="shared" si="163"/>
        <v>0.99984906726504774</v>
      </c>
      <c r="K472" s="108" t="e">
        <f>K473+K490+K507+K511+K523+K525+K527</f>
        <v>#REF!</v>
      </c>
      <c r="L472" s="12" t="e">
        <f>L473+L490+L507+L511+L523+L525</f>
        <v>#REF!</v>
      </c>
      <c r="M472" s="12" t="e">
        <f>M473+M490+M507+M511+M523+M525</f>
        <v>#REF!</v>
      </c>
      <c r="N472" s="12" t="e">
        <f>N473+N490+N507+N511+N523+N525</f>
        <v>#REF!</v>
      </c>
      <c r="O472" s="12"/>
      <c r="P472" s="12" t="e">
        <f>P473+P490+P507+P511+P523+P525</f>
        <v>#REF!</v>
      </c>
      <c r="Q472" s="12" t="e">
        <f>Q473+Q490+Q507+Q511+Q523+Q525</f>
        <v>#REF!</v>
      </c>
      <c r="R472" s="12" t="e">
        <f>R473+R490+R507+R511+R523+R525</f>
        <v>#REF!</v>
      </c>
      <c r="S472" s="16" t="e">
        <f>S473+S490+S507+S511+S523+S525</f>
        <v>#REF!</v>
      </c>
      <c r="T472" s="12" t="e">
        <f>T473+T490+T507+T511+T523+T525+T527</f>
        <v>#REF!</v>
      </c>
      <c r="U472" s="12" t="e">
        <f t="shared" ref="U472:AF472" si="171">U473+U490+U507+U511+U523+U525</f>
        <v>#REF!</v>
      </c>
      <c r="V472" s="12" t="e">
        <f t="shared" si="171"/>
        <v>#REF!</v>
      </c>
      <c r="W472" s="12" t="e">
        <f t="shared" si="171"/>
        <v>#REF!</v>
      </c>
      <c r="X472" s="12" t="e">
        <f t="shared" si="171"/>
        <v>#REF!</v>
      </c>
      <c r="Y472" s="12" t="e">
        <f t="shared" si="171"/>
        <v>#REF!</v>
      </c>
      <c r="Z472" s="12" t="e">
        <f t="shared" si="171"/>
        <v>#REF!</v>
      </c>
      <c r="AA472" s="12" t="e">
        <f t="shared" si="171"/>
        <v>#REF!</v>
      </c>
      <c r="AB472" s="12" t="e">
        <f t="shared" si="171"/>
        <v>#REF!</v>
      </c>
      <c r="AC472" s="12" t="e">
        <f t="shared" si="171"/>
        <v>#REF!</v>
      </c>
      <c r="AD472" s="12" t="e">
        <f t="shared" si="171"/>
        <v>#REF!</v>
      </c>
      <c r="AE472" s="12" t="e">
        <f t="shared" si="171"/>
        <v>#REF!</v>
      </c>
      <c r="AF472" s="12" t="e">
        <f t="shared" si="171"/>
        <v>#REF!</v>
      </c>
    </row>
    <row r="473" spans="1:32" ht="15.75" x14ac:dyDescent="0.2">
      <c r="A473" s="3"/>
      <c r="B473" s="165" t="s">
        <v>86</v>
      </c>
      <c r="C473" s="166"/>
      <c r="D473" s="167" t="s">
        <v>87</v>
      </c>
      <c r="E473" s="168">
        <f>SUM(E474:E489)</f>
        <v>18103837</v>
      </c>
      <c r="F473" s="168">
        <f>SUM(F474:F489)</f>
        <v>16214832.960000003</v>
      </c>
      <c r="G473" s="170">
        <f t="shared" si="162"/>
        <v>0.89565725542049468</v>
      </c>
      <c r="H473" s="168">
        <f>H474+H475+H476+H477+H478+H479+H480+H481+H482+H484+H485+H486+H487+H488+H489</f>
        <v>18047054.52</v>
      </c>
      <c r="I473" s="168">
        <f>I474+I475+I476+I477+I478+I479+I480+I481+I482+I484+I485+I486+I487+I488+I489</f>
        <v>19520424</v>
      </c>
      <c r="J473" s="170">
        <f t="shared" si="163"/>
        <v>1.0782478874505996</v>
      </c>
      <c r="K473" s="112" t="e">
        <f>K474+K475+K476+K477+K478+K479+#REF!+K480+K481+K483+K484+K486+K487+K488+K482</f>
        <v>#REF!</v>
      </c>
      <c r="L473" s="72" t="e">
        <f>L474+L475+L476+L477+L478+L479+#REF!+L480+L481+L483+L484+L486+L487+L488+L482</f>
        <v>#REF!</v>
      </c>
      <c r="M473" s="72" t="e">
        <f>M474+M475+M476+M477+M478+M479+#REF!+M480+M481+M483+M484+M486+M487+M488+M482</f>
        <v>#REF!</v>
      </c>
      <c r="N473" s="72" t="e">
        <f>N474+N475+N476+N477+N478+N479+#REF!+N480+N481+N483+N484+N486+N487+N488+N482</f>
        <v>#REF!</v>
      </c>
      <c r="O473" s="72"/>
      <c r="P473" s="72" t="e">
        <f>P474+P475+P476+P477+P478+P479+#REF!+P480+P481+P483+P484+P486+P487+P488+P482</f>
        <v>#REF!</v>
      </c>
      <c r="Q473" s="72" t="e">
        <f>Q474+Q475+Q476+Q477+Q478+Q479+#REF!+Q480+Q481+Q483+Q484+Q486+Q487+Q488+Q482</f>
        <v>#REF!</v>
      </c>
      <c r="R473" s="72" t="e">
        <f>R474+R475+R476+R477+R478+R479+#REF!+R480+R481+R483+R484+R486+R487+R488+R482</f>
        <v>#REF!</v>
      </c>
      <c r="S473" s="73" t="e">
        <f>S474+S475+S476+S477+S478+S479+#REF!+S480+S481+S483+S484+S486+S487+S488+S482</f>
        <v>#REF!</v>
      </c>
      <c r="T473" s="72" t="e">
        <f>T474+T475+T476+T477+T478+T479+#REF!+T480+T481+T483+T484+T486+T487+T488+T482</f>
        <v>#REF!</v>
      </c>
      <c r="U473" s="72" t="e">
        <f>U474+U475+U476+U477+U478+U479+#REF!+U480+U481+U483+U484+U486+U487+U488+U482</f>
        <v>#REF!</v>
      </c>
      <c r="V473" s="72" t="e">
        <f>V474+V475+V476+V477+V478+V479+#REF!+V480+V481+V483+V484+V486+V487+V488+V482</f>
        <v>#REF!</v>
      </c>
      <c r="W473" s="72" t="e">
        <f>W474+W475+W476+W477+W478+W479+#REF!+W480+W481+W483+W484+W486+W487+W488+W482</f>
        <v>#REF!</v>
      </c>
      <c r="X473" s="72" t="e">
        <f>X474+X475+X476+X477+X478+X479+#REF!+X480+X481+X483+X484+X486+X487+X488+X482</f>
        <v>#REF!</v>
      </c>
      <c r="Y473" s="72" t="e">
        <f>Y474+Y475+Y476+Y477+Y478+Y479+#REF!+Y480+Y481+Y483+Y484+Y486+Y487+Y488+Y482</f>
        <v>#REF!</v>
      </c>
      <c r="Z473" s="72" t="e">
        <f>Z474+Z475+Z476+Z477+Z478+Z479+#REF!+Z480+Z481+Z483+Z484+Z486+Z487+Z488+Z482</f>
        <v>#REF!</v>
      </c>
      <c r="AA473" s="72" t="e">
        <f>AA474+AA475+AA476+AA477+AA478+AA479+#REF!+AA480+AA481+AA483+AA484+AA486+AA487+AA488+AA482</f>
        <v>#REF!</v>
      </c>
      <c r="AB473" s="72" t="e">
        <f>AB474+AB475+AB476+AB477+AB478+AB479+#REF!+AB480+AB481+AB483+AB484+AB486+AB487+AB488+AB482</f>
        <v>#REF!</v>
      </c>
      <c r="AC473" s="72" t="e">
        <f>AC474+AC475+AC476+AC477+AC478+AC479+#REF!+AC480+AC481+AC483+AC484+AC486+AC487+AC488+AC482</f>
        <v>#REF!</v>
      </c>
      <c r="AD473" s="72" t="e">
        <f>AD474+AD475+AD476+AD477+AD478+AD479+#REF!+AD480+AD481+AD483+AD484+AD486+AD487+AD488+AD482</f>
        <v>#REF!</v>
      </c>
      <c r="AE473" s="72" t="e">
        <f>AE474+AE475+AE476+AE477+AE478+AE479+#REF!+AE480+AE481+AE483+AE484+AE486+AE487+AE488+AE482</f>
        <v>#REF!</v>
      </c>
      <c r="AF473" s="72" t="e">
        <f>AF474+AF475+AF476+AF477+AF478+AF479+#REF!+AF480+AF481+AF483+AF484+AF486+AF487+AF488+AF482</f>
        <v>#REF!</v>
      </c>
    </row>
    <row r="474" spans="1:32" ht="67.5" x14ac:dyDescent="0.2">
      <c r="A474" s="4"/>
      <c r="B474" s="31"/>
      <c r="C474" s="42" t="s">
        <v>66</v>
      </c>
      <c r="D474" s="134" t="s">
        <v>283</v>
      </c>
      <c r="E474" s="32">
        <v>40000</v>
      </c>
      <c r="F474" s="20">
        <v>7352.4</v>
      </c>
      <c r="G474" s="11">
        <f t="shared" si="162"/>
        <v>0.18381</v>
      </c>
      <c r="H474" s="20">
        <f>F474/3*4</f>
        <v>9803.1999999999989</v>
      </c>
      <c r="I474" s="20">
        <v>0</v>
      </c>
      <c r="J474" s="11">
        <f t="shared" si="163"/>
        <v>0</v>
      </c>
      <c r="K474" s="24">
        <f>L474+T474+U474+AF474</f>
        <v>40000</v>
      </c>
      <c r="L474" s="19">
        <f>SUM(M474:S474)</f>
        <v>40000</v>
      </c>
      <c r="M474" s="9"/>
      <c r="N474" s="9"/>
      <c r="O474" s="9"/>
      <c r="P474" s="9"/>
      <c r="Q474" s="99">
        <v>40000</v>
      </c>
      <c r="R474" s="18"/>
      <c r="S474" s="18"/>
      <c r="T474" s="18"/>
      <c r="U474" s="19">
        <f>SUM(V474:AE474)</f>
        <v>0</v>
      </c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</row>
    <row r="475" spans="1:32" x14ac:dyDescent="0.2">
      <c r="A475" s="4"/>
      <c r="B475" s="31"/>
      <c r="C475" s="42" t="s">
        <v>286</v>
      </c>
      <c r="D475" s="134" t="s">
        <v>287</v>
      </c>
      <c r="E475" s="32">
        <v>17879519.02</v>
      </c>
      <c r="F475" s="20">
        <v>16082509.220000001</v>
      </c>
      <c r="G475" s="11">
        <f t="shared" si="162"/>
        <v>0.89949339252415761</v>
      </c>
      <c r="H475" s="20">
        <v>17879519.02</v>
      </c>
      <c r="I475" s="20">
        <v>19358004</v>
      </c>
      <c r="J475" s="11">
        <f t="shared" si="163"/>
        <v>1.082691540994261</v>
      </c>
      <c r="K475" s="24">
        <f t="shared" ref="K475:K488" si="172">L475+T475+U475+AF475</f>
        <v>17538470</v>
      </c>
      <c r="L475" s="19">
        <f t="shared" ref="L475:L488" si="173">SUM(M475:S475)</f>
        <v>0</v>
      </c>
      <c r="M475" s="9"/>
      <c r="N475" s="9"/>
      <c r="O475" s="9"/>
      <c r="P475" s="9"/>
      <c r="Q475" s="18"/>
      <c r="R475" s="18"/>
      <c r="S475" s="18"/>
      <c r="T475" s="55">
        <v>17538470</v>
      </c>
      <c r="U475" s="19">
        <f t="shared" ref="U475:U488" si="174">SUM(V475:AE475)</f>
        <v>0</v>
      </c>
      <c r="V475" s="19"/>
      <c r="W475" s="19"/>
      <c r="X475" s="19"/>
      <c r="Y475" s="19"/>
      <c r="Z475" s="19"/>
      <c r="AA475" s="19"/>
      <c r="AB475" s="19"/>
      <c r="AC475" s="19"/>
      <c r="AD475" s="19"/>
      <c r="AE475" s="18"/>
      <c r="AF475" s="18"/>
    </row>
    <row r="476" spans="1:32" x14ac:dyDescent="0.2">
      <c r="A476" s="4"/>
      <c r="B476" s="31"/>
      <c r="C476" s="42" t="s">
        <v>116</v>
      </c>
      <c r="D476" s="134" t="s">
        <v>117</v>
      </c>
      <c r="E476" s="32">
        <v>110000</v>
      </c>
      <c r="F476" s="20">
        <v>69431.149999999994</v>
      </c>
      <c r="G476" s="11">
        <f t="shared" si="162"/>
        <v>0.63119227272727263</v>
      </c>
      <c r="H476" s="20">
        <f t="shared" ref="H476:H489" si="175">F476/3*4</f>
        <v>92574.866666666654</v>
      </c>
      <c r="I476" s="20">
        <v>100000</v>
      </c>
      <c r="J476" s="11">
        <f t="shared" si="163"/>
        <v>0.90909090909090906</v>
      </c>
      <c r="K476" s="24">
        <f t="shared" si="172"/>
        <v>110000</v>
      </c>
      <c r="L476" s="19">
        <f t="shared" si="173"/>
        <v>0</v>
      </c>
      <c r="M476" s="9"/>
      <c r="N476" s="9"/>
      <c r="O476" s="9"/>
      <c r="P476" s="9"/>
      <c r="Q476" s="18"/>
      <c r="R476" s="18"/>
      <c r="S476" s="18"/>
      <c r="T476" s="55">
        <v>110000</v>
      </c>
      <c r="U476" s="19">
        <f t="shared" si="174"/>
        <v>0</v>
      </c>
      <c r="V476" s="19"/>
      <c r="W476" s="19"/>
      <c r="X476" s="19"/>
      <c r="Y476" s="19"/>
      <c r="Z476" s="19"/>
      <c r="AA476" s="19"/>
      <c r="AB476" s="19"/>
      <c r="AC476" s="19"/>
      <c r="AD476" s="19"/>
      <c r="AE476" s="18"/>
      <c r="AF476" s="18"/>
    </row>
    <row r="477" spans="1:32" x14ac:dyDescent="0.2">
      <c r="A477" s="4"/>
      <c r="B477" s="31"/>
      <c r="C477" s="42" t="s">
        <v>173</v>
      </c>
      <c r="D477" s="134" t="s">
        <v>174</v>
      </c>
      <c r="E477" s="32">
        <v>9632.98</v>
      </c>
      <c r="F477" s="20">
        <v>9632.98</v>
      </c>
      <c r="G477" s="11">
        <f t="shared" si="162"/>
        <v>1</v>
      </c>
      <c r="H477" s="20">
        <v>9632.98</v>
      </c>
      <c r="I477" s="20">
        <v>10100</v>
      </c>
      <c r="J477" s="11">
        <f t="shared" si="163"/>
        <v>1.048481362984248</v>
      </c>
      <c r="K477" s="24">
        <f t="shared" si="172"/>
        <v>9770</v>
      </c>
      <c r="L477" s="19">
        <f t="shared" si="173"/>
        <v>0</v>
      </c>
      <c r="M477" s="9"/>
      <c r="N477" s="9"/>
      <c r="O477" s="9"/>
      <c r="P477" s="9"/>
      <c r="Q477" s="18"/>
      <c r="R477" s="18"/>
      <c r="S477" s="18"/>
      <c r="T477" s="55">
        <v>9770</v>
      </c>
      <c r="U477" s="19">
        <f t="shared" si="174"/>
        <v>0</v>
      </c>
      <c r="V477" s="19"/>
      <c r="W477" s="19"/>
      <c r="X477" s="19"/>
      <c r="Y477" s="19"/>
      <c r="Z477" s="19"/>
      <c r="AA477" s="19"/>
      <c r="AB477" s="19"/>
      <c r="AC477" s="19"/>
      <c r="AD477" s="19"/>
      <c r="AE477" s="18"/>
      <c r="AF477" s="18"/>
    </row>
    <row r="478" spans="1:32" x14ac:dyDescent="0.2">
      <c r="A478" s="4"/>
      <c r="B478" s="31"/>
      <c r="C478" s="42" t="s">
        <v>118</v>
      </c>
      <c r="D478" s="134" t="s">
        <v>119</v>
      </c>
      <c r="E478" s="32">
        <v>15665</v>
      </c>
      <c r="F478" s="20">
        <v>12686.59</v>
      </c>
      <c r="G478" s="11">
        <f t="shared" si="162"/>
        <v>0.80986849664857963</v>
      </c>
      <c r="H478" s="20">
        <v>15665</v>
      </c>
      <c r="I478" s="20">
        <v>19000</v>
      </c>
      <c r="J478" s="11">
        <f t="shared" si="163"/>
        <v>1.2128949888285987</v>
      </c>
      <c r="K478" s="24">
        <f t="shared" si="172"/>
        <v>15665</v>
      </c>
      <c r="L478" s="19">
        <f t="shared" si="173"/>
        <v>0</v>
      </c>
      <c r="M478" s="9"/>
      <c r="N478" s="9"/>
      <c r="O478" s="9"/>
      <c r="P478" s="9"/>
      <c r="Q478" s="18"/>
      <c r="R478" s="18"/>
      <c r="S478" s="18"/>
      <c r="T478" s="55">
        <v>15665</v>
      </c>
      <c r="U478" s="19">
        <f t="shared" si="174"/>
        <v>0</v>
      </c>
      <c r="V478" s="19"/>
      <c r="W478" s="19"/>
      <c r="X478" s="19"/>
      <c r="Y478" s="19"/>
      <c r="Z478" s="19"/>
      <c r="AA478" s="19"/>
      <c r="AB478" s="19"/>
      <c r="AC478" s="19"/>
      <c r="AD478" s="19"/>
      <c r="AE478" s="18"/>
      <c r="AF478" s="18"/>
    </row>
    <row r="479" spans="1:32" x14ac:dyDescent="0.2">
      <c r="A479" s="4"/>
      <c r="B479" s="31"/>
      <c r="C479" s="42" t="s">
        <v>120</v>
      </c>
      <c r="D479" s="134" t="s">
        <v>121</v>
      </c>
      <c r="E479" s="32">
        <v>2000</v>
      </c>
      <c r="F479" s="20">
        <v>1512.64</v>
      </c>
      <c r="G479" s="11">
        <f t="shared" si="162"/>
        <v>0.7563200000000001</v>
      </c>
      <c r="H479" s="20">
        <v>2000</v>
      </c>
      <c r="I479" s="20">
        <v>2700</v>
      </c>
      <c r="J479" s="11">
        <f t="shared" si="163"/>
        <v>1.35</v>
      </c>
      <c r="K479" s="24">
        <f t="shared" si="172"/>
        <v>2000</v>
      </c>
      <c r="L479" s="19">
        <f t="shared" si="173"/>
        <v>0</v>
      </c>
      <c r="M479" s="9"/>
      <c r="N479" s="9"/>
      <c r="O479" s="9"/>
      <c r="P479" s="9"/>
      <c r="Q479" s="18"/>
      <c r="R479" s="18"/>
      <c r="S479" s="18"/>
      <c r="T479" s="55">
        <v>2000</v>
      </c>
      <c r="U479" s="19">
        <f t="shared" si="174"/>
        <v>0</v>
      </c>
      <c r="V479" s="19"/>
      <c r="W479" s="19"/>
      <c r="X479" s="19"/>
      <c r="Y479" s="19"/>
      <c r="Z479" s="19"/>
      <c r="AA479" s="19"/>
      <c r="AB479" s="19"/>
      <c r="AC479" s="19"/>
      <c r="AD479" s="19"/>
      <c r="AE479" s="18"/>
      <c r="AF479" s="18"/>
    </row>
    <row r="480" spans="1:32" x14ac:dyDescent="0.2">
      <c r="A480" s="4"/>
      <c r="B480" s="31"/>
      <c r="C480" s="42" t="s">
        <v>122</v>
      </c>
      <c r="D480" s="134" t="s">
        <v>123</v>
      </c>
      <c r="E480" s="32">
        <v>9000</v>
      </c>
      <c r="F480" s="20">
        <v>2614.69</v>
      </c>
      <c r="G480" s="11">
        <f t="shared" si="162"/>
        <v>0.29052111111111112</v>
      </c>
      <c r="H480" s="20">
        <f t="shared" si="175"/>
        <v>3486.2533333333336</v>
      </c>
      <c r="I480" s="20">
        <v>7000</v>
      </c>
      <c r="J480" s="11">
        <f t="shared" si="163"/>
        <v>0.77777777777777779</v>
      </c>
      <c r="K480" s="24">
        <f t="shared" si="172"/>
        <v>9000</v>
      </c>
      <c r="L480" s="19">
        <f t="shared" si="173"/>
        <v>0</v>
      </c>
      <c r="M480" s="9"/>
      <c r="N480" s="9"/>
      <c r="O480" s="9"/>
      <c r="P480" s="9"/>
      <c r="Q480" s="18"/>
      <c r="R480" s="18"/>
      <c r="S480" s="18"/>
      <c r="T480" s="55">
        <v>9000</v>
      </c>
      <c r="U480" s="19">
        <f t="shared" si="174"/>
        <v>0</v>
      </c>
      <c r="V480" s="19"/>
      <c r="W480" s="19"/>
      <c r="X480" s="19"/>
      <c r="Y480" s="19"/>
      <c r="Z480" s="19"/>
      <c r="AA480" s="19"/>
      <c r="AB480" s="19"/>
      <c r="AC480" s="19"/>
      <c r="AD480" s="19"/>
      <c r="AE480" s="18"/>
      <c r="AF480" s="18"/>
    </row>
    <row r="481" spans="1:32" x14ac:dyDescent="0.2">
      <c r="A481" s="4"/>
      <c r="B481" s="31"/>
      <c r="C481" s="42" t="s">
        <v>130</v>
      </c>
      <c r="D481" s="134" t="s">
        <v>131</v>
      </c>
      <c r="E481" s="32">
        <v>2500</v>
      </c>
      <c r="F481" s="20">
        <v>2500</v>
      </c>
      <c r="G481" s="11">
        <f t="shared" si="162"/>
        <v>1</v>
      </c>
      <c r="H481" s="20">
        <v>2500</v>
      </c>
      <c r="I481" s="20">
        <v>2500</v>
      </c>
      <c r="J481" s="11">
        <f t="shared" si="163"/>
        <v>1</v>
      </c>
      <c r="K481" s="24">
        <f t="shared" si="172"/>
        <v>2500</v>
      </c>
      <c r="L481" s="19">
        <f t="shared" si="173"/>
        <v>0</v>
      </c>
      <c r="M481" s="9"/>
      <c r="N481" s="9"/>
      <c r="O481" s="9"/>
      <c r="P481" s="9"/>
      <c r="Q481" s="18"/>
      <c r="R481" s="18"/>
      <c r="S481" s="18"/>
      <c r="T481" s="55">
        <v>2500</v>
      </c>
      <c r="U481" s="19">
        <f t="shared" si="174"/>
        <v>0</v>
      </c>
      <c r="V481" s="19"/>
      <c r="W481" s="19"/>
      <c r="X481" s="19"/>
      <c r="Y481" s="19"/>
      <c r="Z481" s="19"/>
      <c r="AA481" s="19"/>
      <c r="AB481" s="19"/>
      <c r="AC481" s="19"/>
      <c r="AD481" s="19"/>
      <c r="AE481" s="18"/>
      <c r="AF481" s="18"/>
    </row>
    <row r="482" spans="1:32" x14ac:dyDescent="0.2">
      <c r="A482" s="4"/>
      <c r="B482" s="31"/>
      <c r="C482" s="42" t="s">
        <v>124</v>
      </c>
      <c r="D482" s="134" t="s">
        <v>125</v>
      </c>
      <c r="E482" s="32">
        <v>28000</v>
      </c>
      <c r="F482" s="20">
        <v>23095.89</v>
      </c>
      <c r="G482" s="11">
        <f t="shared" si="162"/>
        <v>0.82485321428571423</v>
      </c>
      <c r="H482" s="20">
        <v>28000</v>
      </c>
      <c r="I482" s="20">
        <v>15000</v>
      </c>
      <c r="J482" s="11">
        <f t="shared" si="163"/>
        <v>0.5357142857142857</v>
      </c>
      <c r="K482" s="24">
        <f t="shared" si="172"/>
        <v>20000</v>
      </c>
      <c r="L482" s="19">
        <f t="shared" si="173"/>
        <v>0</v>
      </c>
      <c r="M482" s="9"/>
      <c r="N482" s="9"/>
      <c r="O482" s="9"/>
      <c r="P482" s="9"/>
      <c r="Q482" s="18"/>
      <c r="R482" s="18"/>
      <c r="S482" s="18"/>
      <c r="T482" s="55">
        <v>20000</v>
      </c>
      <c r="U482" s="19">
        <f t="shared" si="174"/>
        <v>0</v>
      </c>
      <c r="V482" s="19"/>
      <c r="W482" s="19"/>
      <c r="X482" s="19"/>
      <c r="Y482" s="19"/>
      <c r="Z482" s="19"/>
      <c r="AA482" s="19"/>
      <c r="AB482" s="19"/>
      <c r="AC482" s="19"/>
      <c r="AD482" s="19"/>
      <c r="AE482" s="18"/>
      <c r="AF482" s="18"/>
    </row>
    <row r="483" spans="1:32" ht="33.75" hidden="1" x14ac:dyDescent="0.2">
      <c r="A483" s="4"/>
      <c r="B483" s="31"/>
      <c r="C483" s="42" t="s">
        <v>233</v>
      </c>
      <c r="D483" s="134" t="s">
        <v>234</v>
      </c>
      <c r="E483" s="32"/>
      <c r="F483" s="20"/>
      <c r="G483" s="11" t="e">
        <f t="shared" si="162"/>
        <v>#DIV/0!</v>
      </c>
      <c r="H483" s="20">
        <f t="shared" si="175"/>
        <v>0</v>
      </c>
      <c r="I483" s="20"/>
      <c r="J483" s="11" t="e">
        <f t="shared" si="163"/>
        <v>#DIV/0!</v>
      </c>
      <c r="K483" s="24">
        <f t="shared" si="172"/>
        <v>0</v>
      </c>
      <c r="L483" s="19">
        <f t="shared" si="173"/>
        <v>0</v>
      </c>
      <c r="M483" s="9"/>
      <c r="N483" s="9"/>
      <c r="O483" s="9"/>
      <c r="P483" s="9"/>
      <c r="Q483" s="18"/>
      <c r="R483" s="18"/>
      <c r="S483" s="18"/>
      <c r="T483" s="19">
        <v>0</v>
      </c>
      <c r="U483" s="19">
        <f t="shared" si="174"/>
        <v>0</v>
      </c>
      <c r="V483" s="19"/>
      <c r="W483" s="19"/>
      <c r="X483" s="19"/>
      <c r="Y483" s="19"/>
      <c r="Z483" s="19"/>
      <c r="AA483" s="19"/>
      <c r="AB483" s="19"/>
      <c r="AC483" s="19"/>
      <c r="AD483" s="19"/>
      <c r="AE483" s="18"/>
      <c r="AF483" s="18"/>
    </row>
    <row r="484" spans="1:32" ht="22.5" hidden="1" x14ac:dyDescent="0.2">
      <c r="A484" s="4"/>
      <c r="B484" s="31"/>
      <c r="C484" s="42" t="s">
        <v>147</v>
      </c>
      <c r="D484" s="134" t="s">
        <v>148</v>
      </c>
      <c r="E484" s="32"/>
      <c r="F484" s="20"/>
      <c r="G484" s="11">
        <v>0</v>
      </c>
      <c r="H484" s="20">
        <f t="shared" si="175"/>
        <v>0</v>
      </c>
      <c r="I484" s="20"/>
      <c r="J484" s="11">
        <v>0</v>
      </c>
      <c r="K484" s="24">
        <f t="shared" si="172"/>
        <v>0</v>
      </c>
      <c r="L484" s="19">
        <f t="shared" si="173"/>
        <v>0</v>
      </c>
      <c r="M484" s="9"/>
      <c r="N484" s="9"/>
      <c r="O484" s="9"/>
      <c r="P484" s="9"/>
      <c r="Q484" s="18"/>
      <c r="R484" s="18"/>
      <c r="S484" s="18"/>
      <c r="T484" s="19">
        <v>0</v>
      </c>
      <c r="U484" s="19">
        <f t="shared" si="174"/>
        <v>0</v>
      </c>
      <c r="V484" s="19"/>
      <c r="W484" s="19"/>
      <c r="X484" s="19"/>
      <c r="Y484" s="19"/>
      <c r="Z484" s="19"/>
      <c r="AA484" s="19"/>
      <c r="AB484" s="19"/>
      <c r="AC484" s="19"/>
      <c r="AD484" s="19"/>
      <c r="AE484" s="18"/>
      <c r="AF484" s="18"/>
    </row>
    <row r="485" spans="1:32" ht="22.5" x14ac:dyDescent="0.2">
      <c r="A485" s="4"/>
      <c r="B485" s="31"/>
      <c r="C485" s="33" t="s">
        <v>189</v>
      </c>
      <c r="D485" s="34" t="s">
        <v>190</v>
      </c>
      <c r="E485" s="32">
        <v>150</v>
      </c>
      <c r="F485" s="20">
        <v>90.82</v>
      </c>
      <c r="G485" s="11">
        <f>F485/E485</f>
        <v>0.6054666666666666</v>
      </c>
      <c r="H485" s="20">
        <f t="shared" si="175"/>
        <v>121.09333333333332</v>
      </c>
      <c r="I485" s="20">
        <v>100</v>
      </c>
      <c r="J485" s="11">
        <v>0</v>
      </c>
      <c r="K485" s="24">
        <f t="shared" si="172"/>
        <v>0</v>
      </c>
      <c r="L485" s="19">
        <f t="shared" si="173"/>
        <v>0</v>
      </c>
      <c r="M485" s="9"/>
      <c r="N485" s="9"/>
      <c r="O485" s="9"/>
      <c r="P485" s="9"/>
      <c r="Q485" s="18"/>
      <c r="R485" s="18"/>
      <c r="S485" s="18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8"/>
      <c r="AF485" s="18"/>
    </row>
    <row r="486" spans="1:32" ht="22.5" x14ac:dyDescent="0.2">
      <c r="A486" s="4"/>
      <c r="B486" s="31"/>
      <c r="C486" s="42" t="s">
        <v>193</v>
      </c>
      <c r="D486" s="134" t="s">
        <v>194</v>
      </c>
      <c r="E486" s="32">
        <v>2370</v>
      </c>
      <c r="F486" s="20">
        <v>2370</v>
      </c>
      <c r="G486" s="11">
        <f t="shared" si="162"/>
        <v>1</v>
      </c>
      <c r="H486" s="20">
        <v>2370</v>
      </c>
      <c r="I486" s="20">
        <v>2370</v>
      </c>
      <c r="J486" s="11">
        <f t="shared" si="163"/>
        <v>1</v>
      </c>
      <c r="K486" s="24">
        <f t="shared" si="172"/>
        <v>2370</v>
      </c>
      <c r="L486" s="19">
        <f t="shared" si="173"/>
        <v>0</v>
      </c>
      <c r="M486" s="9"/>
      <c r="N486" s="9"/>
      <c r="O486" s="9"/>
      <c r="P486" s="9"/>
      <c r="Q486" s="18"/>
      <c r="R486" s="18"/>
      <c r="S486" s="18"/>
      <c r="T486" s="55">
        <v>2370</v>
      </c>
      <c r="U486" s="19">
        <f t="shared" si="174"/>
        <v>0</v>
      </c>
      <c r="V486" s="19"/>
      <c r="W486" s="19"/>
      <c r="X486" s="19"/>
      <c r="Y486" s="19"/>
      <c r="Z486" s="19"/>
      <c r="AA486" s="19"/>
      <c r="AB486" s="19"/>
      <c r="AC486" s="19"/>
      <c r="AD486" s="19"/>
      <c r="AE486" s="18"/>
      <c r="AF486" s="18"/>
    </row>
    <row r="487" spans="1:32" ht="78.75" x14ac:dyDescent="0.2">
      <c r="A487" s="4"/>
      <c r="B487" s="31"/>
      <c r="C487" s="42" t="s">
        <v>299</v>
      </c>
      <c r="D487" s="134" t="s">
        <v>300</v>
      </c>
      <c r="E487" s="32">
        <v>4000</v>
      </c>
      <c r="F487" s="20">
        <v>837.08</v>
      </c>
      <c r="G487" s="11">
        <f t="shared" si="162"/>
        <v>0.20927000000000001</v>
      </c>
      <c r="H487" s="20">
        <f t="shared" si="175"/>
        <v>1116.1066666666668</v>
      </c>
      <c r="I487" s="20">
        <v>0</v>
      </c>
      <c r="J487" s="11">
        <f t="shared" si="163"/>
        <v>0</v>
      </c>
      <c r="K487" s="24">
        <f t="shared" si="172"/>
        <v>4000</v>
      </c>
      <c r="L487" s="19">
        <f t="shared" si="173"/>
        <v>4000</v>
      </c>
      <c r="M487" s="9"/>
      <c r="N487" s="9"/>
      <c r="O487" s="9"/>
      <c r="P487" s="9"/>
      <c r="Q487" s="99">
        <v>4000</v>
      </c>
      <c r="R487" s="18"/>
      <c r="S487" s="18"/>
      <c r="T487" s="19">
        <v>0</v>
      </c>
      <c r="U487" s="19">
        <f t="shared" si="174"/>
        <v>0</v>
      </c>
      <c r="V487" s="19"/>
      <c r="W487" s="19"/>
      <c r="X487" s="19"/>
      <c r="Y487" s="19"/>
      <c r="Z487" s="19"/>
      <c r="AA487" s="19"/>
      <c r="AB487" s="19"/>
      <c r="AC487" s="19"/>
      <c r="AD487" s="19"/>
      <c r="AE487" s="18"/>
      <c r="AF487" s="18"/>
    </row>
    <row r="488" spans="1:32" ht="22.5" x14ac:dyDescent="0.2">
      <c r="A488" s="4"/>
      <c r="B488" s="31"/>
      <c r="C488" s="42" t="s">
        <v>195</v>
      </c>
      <c r="D488" s="134" t="s">
        <v>196</v>
      </c>
      <c r="E488" s="32">
        <v>1000</v>
      </c>
      <c r="F488" s="20">
        <v>199.5</v>
      </c>
      <c r="G488" s="11">
        <f t="shared" si="162"/>
        <v>0.19950000000000001</v>
      </c>
      <c r="H488" s="20">
        <f t="shared" si="175"/>
        <v>266</v>
      </c>
      <c r="I488" s="20">
        <v>2000</v>
      </c>
      <c r="J488" s="11">
        <f t="shared" si="163"/>
        <v>2</v>
      </c>
      <c r="K488" s="24">
        <f t="shared" si="172"/>
        <v>2775</v>
      </c>
      <c r="L488" s="19">
        <f t="shared" si="173"/>
        <v>0</v>
      </c>
      <c r="M488" s="9"/>
      <c r="N488" s="9"/>
      <c r="O488" s="9"/>
      <c r="P488" s="9"/>
      <c r="Q488" s="18"/>
      <c r="R488" s="18"/>
      <c r="S488" s="18"/>
      <c r="T488" s="55">
        <v>2775</v>
      </c>
      <c r="U488" s="19">
        <f t="shared" si="174"/>
        <v>0</v>
      </c>
      <c r="V488" s="19"/>
      <c r="W488" s="19"/>
      <c r="X488" s="19"/>
      <c r="Y488" s="19"/>
      <c r="Z488" s="19"/>
      <c r="AA488" s="19"/>
      <c r="AB488" s="19"/>
      <c r="AC488" s="19"/>
      <c r="AD488" s="19"/>
      <c r="AE488" s="18"/>
      <c r="AF488" s="18"/>
    </row>
    <row r="489" spans="1:32" ht="22.5" x14ac:dyDescent="0.2">
      <c r="A489" s="4"/>
      <c r="B489" s="31"/>
      <c r="C489" s="33" t="s">
        <v>380</v>
      </c>
      <c r="D489" s="34" t="s">
        <v>382</v>
      </c>
      <c r="E489" s="32">
        <v>0</v>
      </c>
      <c r="F489" s="20">
        <v>0</v>
      </c>
      <c r="G489" s="11">
        <v>0</v>
      </c>
      <c r="H489" s="20">
        <f t="shared" si="175"/>
        <v>0</v>
      </c>
      <c r="I489" s="20">
        <v>1650</v>
      </c>
      <c r="J489" s="11">
        <v>0</v>
      </c>
      <c r="K489" s="24"/>
      <c r="L489" s="52"/>
      <c r="M489" s="181"/>
      <c r="N489" s="181"/>
      <c r="O489" s="181"/>
      <c r="P489" s="181"/>
      <c r="Q489" s="60"/>
      <c r="R489" s="60"/>
      <c r="S489" s="60"/>
      <c r="T489" s="179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60"/>
      <c r="AF489" s="60"/>
    </row>
    <row r="490" spans="1:32" ht="67.5" x14ac:dyDescent="0.2">
      <c r="A490" s="3"/>
      <c r="B490" s="165" t="s">
        <v>88</v>
      </c>
      <c r="C490" s="166"/>
      <c r="D490" s="167" t="s">
        <v>89</v>
      </c>
      <c r="E490" s="168">
        <f>E491+E492+E493+E494+E495+E496+E498+E499+E500+E501+E502+E503+E504+E505+E506</f>
        <v>7622914</v>
      </c>
      <c r="F490" s="168">
        <f>F491+F492+F493+F494+F495+F496+F498+F499+F500+F501+F502+F503+F504+F505+F506</f>
        <v>6204052.3599999994</v>
      </c>
      <c r="G490" s="176">
        <f>F490/E490</f>
        <v>0.81386886432143923</v>
      </c>
      <c r="H490" s="168">
        <f>H491+H492+H493+H494+H495+H496+H498+H499+H500+H501+H502+H503+H504+H505+H506</f>
        <v>7598553.6133333342</v>
      </c>
      <c r="I490" s="168">
        <f>I491+I492+I493+I494+I495+I496+I498+I499+I500+I501+I502+I503+I504+I505+I506</f>
        <v>6919560</v>
      </c>
      <c r="J490" s="169">
        <f>I490/E490</f>
        <v>0.90773161024773463</v>
      </c>
      <c r="K490" s="112" t="e">
        <f>K491+K492+K493+K494+K495+K496+K498+K499+K501+K503+K504+K505+K500+K497+#REF!+K502</f>
        <v>#REF!</v>
      </c>
      <c r="L490" s="72" t="e">
        <f>L491+L492+L493+L494+L495+L496+L498+L499+L501+L503+L504+L505+L500+L497+#REF!</f>
        <v>#REF!</v>
      </c>
      <c r="M490" s="72" t="e">
        <f>M491+M492+M493+M494+M495+M496+M498+M499+M501+M503+M504+M505+M500+M497+#REF!</f>
        <v>#REF!</v>
      </c>
      <c r="N490" s="72" t="e">
        <f>N491+N492+N493+N494+N495+N496+N498+N499+N501+N503+N504+N505+N500+N497+#REF!</f>
        <v>#REF!</v>
      </c>
      <c r="O490" s="72"/>
      <c r="P490" s="72" t="e">
        <f>P491+P492+P493+P494+P495+P496+P498+P499+P501+P503+P504+P505+P500+P497+#REF!</f>
        <v>#REF!</v>
      </c>
      <c r="Q490" s="72" t="e">
        <f>Q491+Q492+Q493+Q494+Q495+Q496+Q498+Q499+Q501+Q503+Q504+Q505+Q500+Q497+#REF!</f>
        <v>#REF!</v>
      </c>
      <c r="R490" s="72" t="e">
        <f>R491+R492+R493+R494+R495+R496+R498+R499+R501+R503+R504+R505+R500+R497+#REF!</f>
        <v>#REF!</v>
      </c>
      <c r="S490" s="72" t="e">
        <f>S491+S492+S493+S494+S495+S496+S498+S499+S501+S503+S504+S505+S500+S497+#REF!</f>
        <v>#REF!</v>
      </c>
      <c r="T490" s="72" t="e">
        <f>T491+T492+T493+T494+T495+T496+T498+T499+T501+T503+T504+T505+T500+T497+#REF!+T502</f>
        <v>#REF!</v>
      </c>
      <c r="U490" s="72" t="e">
        <f>U491+U492+U493+U494+U495+U496+U498+U499+U501+U503+U504+U505+U500+U497+#REF!</f>
        <v>#REF!</v>
      </c>
      <c r="V490" s="72" t="e">
        <f>V491+V492+V493+V494+V495+V496+V498+V499+V501+V503+V504+V505+V500+V497+#REF!</f>
        <v>#REF!</v>
      </c>
      <c r="W490" s="72" t="e">
        <f>W491+W492+W493+W494+W495+W496+W498+W499+W501+W503+W504+W505+W500+W497+#REF!</f>
        <v>#REF!</v>
      </c>
      <c r="X490" s="72" t="e">
        <f>X491+X492+X493+X494+X495+X496+X498+X499+X501+X503+X504+X505+X500+X497+#REF!</f>
        <v>#REF!</v>
      </c>
      <c r="Y490" s="72" t="e">
        <f>Y491+Y492+Y493+Y494+Y495+Y496+Y498+Y499+Y501+Y503+Y504+Y505+Y500+Y497+#REF!</f>
        <v>#REF!</v>
      </c>
      <c r="Z490" s="72" t="e">
        <f>Z491+Z492+Z493+Z494+Z495+Z496+Z498+Z499+Z501+Z503+Z504+Z505+Z500+Z497+#REF!</f>
        <v>#REF!</v>
      </c>
      <c r="AA490" s="72" t="e">
        <f>AA491+AA492+AA493+AA494+AA495+AA496+AA498+AA499+AA501+AA503+AA504+AA505+AA500+AA497+#REF!</f>
        <v>#REF!</v>
      </c>
      <c r="AB490" s="72" t="e">
        <f>AB491+AB492+AB493+AB494+AB495+AB496+AB498+AB499+AB501+AB503+AB504+AB505+AB500+AB497+#REF!</f>
        <v>#REF!</v>
      </c>
      <c r="AC490" s="72" t="e">
        <f>AC491+AC492+AC493+AC494+AC495+AC496+AC498+AC499+AC501+AC503+AC504+AC505+AC500+AC497+#REF!</f>
        <v>#REF!</v>
      </c>
      <c r="AD490" s="72" t="e">
        <f>AD491+AD492+AD493+AD494+AD495+AD496+AD498+AD499+AD501+AD503+AD504+AD505+AD500+AD497+#REF!</f>
        <v>#REF!</v>
      </c>
      <c r="AE490" s="72" t="e">
        <f>AE491+AE492+AE493+AE494+AE495+AE496+AE498+AE499+AE501+AE503+AE504+AE505+AE500+AE497+#REF!</f>
        <v>#REF!</v>
      </c>
      <c r="AF490" s="72" t="e">
        <f>AF491+AF492+AF493+AF494+AF495+AF496+AF498+AF499+AF501+AF503+AF504+AF505+AF500+AF497+#REF!</f>
        <v>#REF!</v>
      </c>
    </row>
    <row r="491" spans="1:32" ht="67.5" x14ac:dyDescent="0.2">
      <c r="A491" s="4"/>
      <c r="B491" s="31"/>
      <c r="C491" s="42" t="s">
        <v>66</v>
      </c>
      <c r="D491" s="134" t="s">
        <v>283</v>
      </c>
      <c r="E491" s="32">
        <v>50000</v>
      </c>
      <c r="F491" s="20">
        <v>24221.75</v>
      </c>
      <c r="G491" s="11">
        <f t="shared" si="162"/>
        <v>0.484435</v>
      </c>
      <c r="H491" s="32">
        <f>F491/3*4</f>
        <v>32295.666666666668</v>
      </c>
      <c r="I491" s="20">
        <v>0</v>
      </c>
      <c r="J491" s="11">
        <f t="shared" si="163"/>
        <v>0</v>
      </c>
      <c r="K491" s="24">
        <f>L491+T491+U491+AF491</f>
        <v>50000</v>
      </c>
      <c r="L491" s="19">
        <f>SUM(M491:S491)</f>
        <v>50000</v>
      </c>
      <c r="M491" s="19"/>
      <c r="N491" s="19"/>
      <c r="O491" s="19"/>
      <c r="P491" s="19"/>
      <c r="Q491" s="99">
        <v>50000</v>
      </c>
      <c r="R491" s="19"/>
      <c r="S491" s="9"/>
      <c r="T491" s="19"/>
      <c r="U491" s="19">
        <f>SUM(V491:AE491)</f>
        <v>0</v>
      </c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</row>
    <row r="492" spans="1:32" x14ac:dyDescent="0.2">
      <c r="A492" s="4"/>
      <c r="B492" s="31"/>
      <c r="C492" s="42" t="s">
        <v>286</v>
      </c>
      <c r="D492" s="134" t="s">
        <v>287</v>
      </c>
      <c r="E492" s="32">
        <v>6864717.04</v>
      </c>
      <c r="F492" s="20">
        <v>5640483.5700000003</v>
      </c>
      <c r="G492" s="11">
        <f t="shared" si="162"/>
        <v>0.82166293776327304</v>
      </c>
      <c r="H492" s="32">
        <v>6864717.04</v>
      </c>
      <c r="I492" s="20">
        <v>6390180</v>
      </c>
      <c r="J492" s="11">
        <f t="shared" si="163"/>
        <v>0.93087303712084246</v>
      </c>
      <c r="K492" s="24">
        <f t="shared" ref="K492:K505" si="176">L492+T492+U492+AF492</f>
        <v>7045524</v>
      </c>
      <c r="L492" s="19">
        <f t="shared" ref="L492:L505" si="177">SUM(M492:S492)</f>
        <v>0</v>
      </c>
      <c r="M492" s="9"/>
      <c r="N492" s="9"/>
      <c r="O492" s="9"/>
      <c r="P492" s="9"/>
      <c r="Q492" s="19"/>
      <c r="R492" s="19"/>
      <c r="S492" s="9"/>
      <c r="T492" s="55">
        <v>7045524</v>
      </c>
      <c r="U492" s="19">
        <f t="shared" ref="U492:U505" si="178">SUM(V492:AE492)</f>
        <v>0</v>
      </c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</row>
    <row r="493" spans="1:32" x14ac:dyDescent="0.2">
      <c r="A493" s="4"/>
      <c r="B493" s="31"/>
      <c r="C493" s="42" t="s">
        <v>116</v>
      </c>
      <c r="D493" s="134" t="s">
        <v>117</v>
      </c>
      <c r="E493" s="32">
        <v>175000</v>
      </c>
      <c r="F493" s="20">
        <v>130458.33</v>
      </c>
      <c r="G493" s="11">
        <f t="shared" si="162"/>
        <v>0.74547617142857148</v>
      </c>
      <c r="H493" s="32">
        <f t="shared" ref="H493:H506" si="179">F493/3*4</f>
        <v>173944.44</v>
      </c>
      <c r="I493" s="20">
        <v>176500</v>
      </c>
      <c r="J493" s="11">
        <f t="shared" si="163"/>
        <v>1.0085714285714287</v>
      </c>
      <c r="K493" s="24">
        <f t="shared" si="176"/>
        <v>165000</v>
      </c>
      <c r="L493" s="19">
        <f t="shared" si="177"/>
        <v>0</v>
      </c>
      <c r="M493" s="9"/>
      <c r="N493" s="9"/>
      <c r="O493" s="9"/>
      <c r="P493" s="9"/>
      <c r="Q493" s="19"/>
      <c r="R493" s="19"/>
      <c r="S493" s="9"/>
      <c r="T493" s="55">
        <v>165000</v>
      </c>
      <c r="U493" s="19">
        <f t="shared" si="178"/>
        <v>0</v>
      </c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</row>
    <row r="494" spans="1:32" x14ac:dyDescent="0.2">
      <c r="A494" s="4"/>
      <c r="B494" s="31"/>
      <c r="C494" s="42" t="s">
        <v>173</v>
      </c>
      <c r="D494" s="134" t="s">
        <v>174</v>
      </c>
      <c r="E494" s="32">
        <v>15936.96</v>
      </c>
      <c r="F494" s="20">
        <v>15936.96</v>
      </c>
      <c r="G494" s="11">
        <f t="shared" si="162"/>
        <v>1</v>
      </c>
      <c r="H494" s="32">
        <v>15936.96</v>
      </c>
      <c r="I494" s="20">
        <v>15900</v>
      </c>
      <c r="J494" s="11">
        <f t="shared" si="163"/>
        <v>0.99768086259863864</v>
      </c>
      <c r="K494" s="24">
        <f t="shared" si="176"/>
        <v>16100</v>
      </c>
      <c r="L494" s="19">
        <f t="shared" si="177"/>
        <v>0</v>
      </c>
      <c r="M494" s="9"/>
      <c r="N494" s="9"/>
      <c r="O494" s="9"/>
      <c r="P494" s="9"/>
      <c r="Q494" s="19"/>
      <c r="R494" s="19"/>
      <c r="S494" s="9"/>
      <c r="T494" s="55">
        <v>16100</v>
      </c>
      <c r="U494" s="19">
        <f t="shared" si="178"/>
        <v>0</v>
      </c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</row>
    <row r="495" spans="1:32" x14ac:dyDescent="0.2">
      <c r="A495" s="4"/>
      <c r="B495" s="31"/>
      <c r="C495" s="42" t="s">
        <v>118</v>
      </c>
      <c r="D495" s="134" t="s">
        <v>119</v>
      </c>
      <c r="E495" s="32">
        <v>451683</v>
      </c>
      <c r="F495" s="20">
        <v>340896.05</v>
      </c>
      <c r="G495" s="11">
        <f t="shared" si="162"/>
        <v>0.75472410960784442</v>
      </c>
      <c r="H495" s="32">
        <v>451683</v>
      </c>
      <c r="I495" s="20">
        <v>283203</v>
      </c>
      <c r="J495" s="11">
        <f t="shared" si="163"/>
        <v>0.6269950385558013</v>
      </c>
      <c r="K495" s="24">
        <f t="shared" si="176"/>
        <v>279953</v>
      </c>
      <c r="L495" s="19">
        <f t="shared" si="177"/>
        <v>0</v>
      </c>
      <c r="M495" s="9"/>
      <c r="N495" s="9"/>
      <c r="O495" s="9"/>
      <c r="P495" s="9"/>
      <c r="Q495" s="19"/>
      <c r="R495" s="19"/>
      <c r="S495" s="9"/>
      <c r="T495" s="55">
        <v>279953</v>
      </c>
      <c r="U495" s="19">
        <f t="shared" si="178"/>
        <v>0</v>
      </c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</row>
    <row r="496" spans="1:32" x14ac:dyDescent="0.2">
      <c r="A496" s="4"/>
      <c r="B496" s="31"/>
      <c r="C496" s="42" t="s">
        <v>120</v>
      </c>
      <c r="D496" s="134" t="s">
        <v>121</v>
      </c>
      <c r="E496" s="32">
        <v>4407</v>
      </c>
      <c r="F496" s="20">
        <v>3275.66</v>
      </c>
      <c r="G496" s="11">
        <f t="shared" si="162"/>
        <v>0.74328568186975263</v>
      </c>
      <c r="H496" s="32">
        <f t="shared" si="179"/>
        <v>4367.5466666666662</v>
      </c>
      <c r="I496" s="20">
        <v>4647</v>
      </c>
      <c r="J496" s="11">
        <f t="shared" si="163"/>
        <v>1.0544588155207624</v>
      </c>
      <c r="K496" s="24">
        <f t="shared" si="176"/>
        <v>4167</v>
      </c>
      <c r="L496" s="19">
        <f t="shared" si="177"/>
        <v>0</v>
      </c>
      <c r="M496" s="9"/>
      <c r="N496" s="9"/>
      <c r="O496" s="9"/>
      <c r="P496" s="9"/>
      <c r="Q496" s="19"/>
      <c r="R496" s="19"/>
      <c r="S496" s="9"/>
      <c r="T496" s="55">
        <v>4167</v>
      </c>
      <c r="U496" s="19">
        <f t="shared" si="178"/>
        <v>0</v>
      </c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</row>
    <row r="497" spans="1:32" hidden="1" x14ac:dyDescent="0.2">
      <c r="A497" s="4"/>
      <c r="B497" s="31"/>
      <c r="C497" s="42" t="s">
        <v>284</v>
      </c>
      <c r="D497" s="134" t="s">
        <v>285</v>
      </c>
      <c r="E497" s="32"/>
      <c r="F497" s="20"/>
      <c r="G497" s="11">
        <v>0</v>
      </c>
      <c r="H497" s="32">
        <f t="shared" si="179"/>
        <v>0</v>
      </c>
      <c r="I497" s="20"/>
      <c r="J497" s="11" t="e">
        <f t="shared" si="163"/>
        <v>#DIV/0!</v>
      </c>
      <c r="K497" s="24">
        <f t="shared" si="176"/>
        <v>0</v>
      </c>
      <c r="L497" s="19">
        <f t="shared" si="177"/>
        <v>0</v>
      </c>
      <c r="M497" s="9"/>
      <c r="N497" s="9"/>
      <c r="O497" s="9"/>
      <c r="P497" s="9"/>
      <c r="Q497" s="19"/>
      <c r="R497" s="19"/>
      <c r="S497" s="9"/>
      <c r="T497" s="19">
        <v>0</v>
      </c>
      <c r="U497" s="19">
        <f t="shared" si="178"/>
        <v>0</v>
      </c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</row>
    <row r="498" spans="1:32" x14ac:dyDescent="0.2">
      <c r="A498" s="4"/>
      <c r="B498" s="31"/>
      <c r="C498" s="42" t="s">
        <v>122</v>
      </c>
      <c r="D498" s="134" t="s">
        <v>123</v>
      </c>
      <c r="E498" s="32">
        <v>10000</v>
      </c>
      <c r="F498" s="20">
        <v>7617.64</v>
      </c>
      <c r="G498" s="11">
        <f t="shared" si="162"/>
        <v>0.761764</v>
      </c>
      <c r="H498" s="32">
        <v>8000</v>
      </c>
      <c r="I498" s="20">
        <v>8000</v>
      </c>
      <c r="J498" s="11">
        <f t="shared" si="163"/>
        <v>0.8</v>
      </c>
      <c r="K498" s="24">
        <f t="shared" si="176"/>
        <v>10000</v>
      </c>
      <c r="L498" s="19">
        <f t="shared" si="177"/>
        <v>0</v>
      </c>
      <c r="M498" s="9"/>
      <c r="N498" s="9"/>
      <c r="O498" s="9"/>
      <c r="P498" s="9"/>
      <c r="Q498" s="19"/>
      <c r="R498" s="19"/>
      <c r="S498" s="9"/>
      <c r="T498" s="55">
        <v>10000</v>
      </c>
      <c r="U498" s="19">
        <f t="shared" si="178"/>
        <v>0</v>
      </c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</row>
    <row r="499" spans="1:32" x14ac:dyDescent="0.2">
      <c r="A499" s="4"/>
      <c r="B499" s="31"/>
      <c r="C499" s="42" t="s">
        <v>130</v>
      </c>
      <c r="D499" s="134" t="s">
        <v>131</v>
      </c>
      <c r="E499" s="32">
        <v>3000</v>
      </c>
      <c r="F499" s="20">
        <v>2758.92</v>
      </c>
      <c r="G499" s="11">
        <f t="shared" si="162"/>
        <v>0.91964000000000001</v>
      </c>
      <c r="H499" s="32">
        <v>3000</v>
      </c>
      <c r="I499" s="20">
        <v>3000</v>
      </c>
      <c r="J499" s="11">
        <f t="shared" si="163"/>
        <v>1</v>
      </c>
      <c r="K499" s="24">
        <f t="shared" si="176"/>
        <v>3000</v>
      </c>
      <c r="L499" s="19">
        <f t="shared" si="177"/>
        <v>0</v>
      </c>
      <c r="M499" s="9"/>
      <c r="N499" s="9"/>
      <c r="O499" s="9"/>
      <c r="P499" s="9"/>
      <c r="Q499" s="19"/>
      <c r="R499" s="19"/>
      <c r="S499" s="9"/>
      <c r="T499" s="55">
        <v>3000</v>
      </c>
      <c r="U499" s="19">
        <f t="shared" si="178"/>
        <v>0</v>
      </c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</row>
    <row r="500" spans="1:32" x14ac:dyDescent="0.2">
      <c r="A500" s="4"/>
      <c r="B500" s="31"/>
      <c r="C500" s="42" t="s">
        <v>124</v>
      </c>
      <c r="D500" s="134" t="s">
        <v>125</v>
      </c>
      <c r="E500" s="32">
        <v>35000</v>
      </c>
      <c r="F500" s="20">
        <v>29966.76</v>
      </c>
      <c r="G500" s="11">
        <f t="shared" si="162"/>
        <v>0.85619314285714276</v>
      </c>
      <c r="H500" s="32">
        <v>35000</v>
      </c>
      <c r="I500" s="20">
        <v>27000</v>
      </c>
      <c r="J500" s="11">
        <f t="shared" si="163"/>
        <v>0.77142857142857146</v>
      </c>
      <c r="K500" s="24">
        <f t="shared" si="176"/>
        <v>30000</v>
      </c>
      <c r="L500" s="19">
        <f t="shared" si="177"/>
        <v>0</v>
      </c>
      <c r="M500" s="9"/>
      <c r="N500" s="9"/>
      <c r="O500" s="9"/>
      <c r="P500" s="9"/>
      <c r="Q500" s="19"/>
      <c r="R500" s="19"/>
      <c r="S500" s="9"/>
      <c r="T500" s="55">
        <v>30000</v>
      </c>
      <c r="U500" s="19">
        <f t="shared" si="178"/>
        <v>0</v>
      </c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</row>
    <row r="501" spans="1:32" ht="22.5" x14ac:dyDescent="0.2">
      <c r="A501" s="4"/>
      <c r="B501" s="31"/>
      <c r="C501" s="42" t="s">
        <v>147</v>
      </c>
      <c r="D501" s="134" t="s">
        <v>148</v>
      </c>
      <c r="E501" s="32">
        <v>1000</v>
      </c>
      <c r="F501" s="20">
        <v>589.45000000000005</v>
      </c>
      <c r="G501" s="11">
        <f t="shared" si="162"/>
        <v>0.58945000000000003</v>
      </c>
      <c r="H501" s="32">
        <f t="shared" si="179"/>
        <v>785.93333333333339</v>
      </c>
      <c r="I501" s="20">
        <v>1000</v>
      </c>
      <c r="J501" s="11">
        <f t="shared" si="163"/>
        <v>1</v>
      </c>
      <c r="K501" s="24">
        <f t="shared" si="176"/>
        <v>1000</v>
      </c>
      <c r="L501" s="19">
        <f t="shared" si="177"/>
        <v>0</v>
      </c>
      <c r="M501" s="9"/>
      <c r="N501" s="9"/>
      <c r="O501" s="9"/>
      <c r="P501" s="9"/>
      <c r="Q501" s="19"/>
      <c r="R501" s="19"/>
      <c r="S501" s="9"/>
      <c r="T501" s="55">
        <v>1000</v>
      </c>
      <c r="U501" s="19">
        <f t="shared" si="178"/>
        <v>0</v>
      </c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</row>
    <row r="502" spans="1:32" x14ac:dyDescent="0.2">
      <c r="A502" s="4"/>
      <c r="B502" s="31"/>
      <c r="C502" s="33" t="s">
        <v>126</v>
      </c>
      <c r="D502" s="34" t="s">
        <v>127</v>
      </c>
      <c r="E502" s="32">
        <v>250</v>
      </c>
      <c r="F502" s="20">
        <v>0</v>
      </c>
      <c r="G502" s="11">
        <f>F502/E502</f>
        <v>0</v>
      </c>
      <c r="H502" s="32">
        <f t="shared" si="179"/>
        <v>0</v>
      </c>
      <c r="I502" s="20">
        <v>200</v>
      </c>
      <c r="J502" s="11">
        <f t="shared" si="163"/>
        <v>0.8</v>
      </c>
      <c r="K502" s="24">
        <f t="shared" si="176"/>
        <v>250</v>
      </c>
      <c r="L502" s="19">
        <f t="shared" si="177"/>
        <v>0</v>
      </c>
      <c r="M502" s="9"/>
      <c r="N502" s="9"/>
      <c r="O502" s="9"/>
      <c r="P502" s="9"/>
      <c r="Q502" s="19"/>
      <c r="R502" s="19"/>
      <c r="S502" s="9"/>
      <c r="T502" s="55">
        <v>250</v>
      </c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</row>
    <row r="503" spans="1:32" ht="22.5" x14ac:dyDescent="0.2">
      <c r="A503" s="4"/>
      <c r="B503" s="31"/>
      <c r="C503" s="42" t="s">
        <v>193</v>
      </c>
      <c r="D503" s="134" t="s">
        <v>194</v>
      </c>
      <c r="E503" s="32">
        <v>4920</v>
      </c>
      <c r="F503" s="20">
        <v>4920</v>
      </c>
      <c r="G503" s="11">
        <f t="shared" si="162"/>
        <v>1</v>
      </c>
      <c r="H503" s="32">
        <v>4920</v>
      </c>
      <c r="I503" s="20">
        <v>5430</v>
      </c>
      <c r="J503" s="11">
        <f t="shared" si="163"/>
        <v>1.1036585365853659</v>
      </c>
      <c r="K503" s="24">
        <f t="shared" si="176"/>
        <v>4920</v>
      </c>
      <c r="L503" s="19">
        <f t="shared" si="177"/>
        <v>0</v>
      </c>
      <c r="M503" s="9"/>
      <c r="N503" s="9"/>
      <c r="O503" s="9"/>
      <c r="P503" s="9"/>
      <c r="Q503" s="19"/>
      <c r="R503" s="19"/>
      <c r="S503" s="9"/>
      <c r="T503" s="55">
        <v>4920</v>
      </c>
      <c r="U503" s="19">
        <f t="shared" si="178"/>
        <v>0</v>
      </c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</row>
    <row r="504" spans="1:32" ht="78.75" x14ac:dyDescent="0.2">
      <c r="A504" s="4"/>
      <c r="B504" s="31"/>
      <c r="C504" s="42" t="s">
        <v>299</v>
      </c>
      <c r="D504" s="134" t="s">
        <v>300</v>
      </c>
      <c r="E504" s="32">
        <v>5000</v>
      </c>
      <c r="F504" s="20">
        <v>1878.77</v>
      </c>
      <c r="G504" s="11">
        <f t="shared" si="162"/>
        <v>0.37575399999999998</v>
      </c>
      <c r="H504" s="32">
        <f t="shared" si="179"/>
        <v>2505.0266666666666</v>
      </c>
      <c r="I504" s="20">
        <v>0</v>
      </c>
      <c r="J504" s="11">
        <f t="shared" si="163"/>
        <v>0</v>
      </c>
      <c r="K504" s="24">
        <f t="shared" si="176"/>
        <v>5000</v>
      </c>
      <c r="L504" s="19">
        <f t="shared" si="177"/>
        <v>5000</v>
      </c>
      <c r="M504" s="9"/>
      <c r="N504" s="9"/>
      <c r="O504" s="9"/>
      <c r="P504" s="9"/>
      <c r="Q504" s="99">
        <v>5000</v>
      </c>
      <c r="R504" s="19"/>
      <c r="S504" s="9"/>
      <c r="T504" s="19">
        <v>0</v>
      </c>
      <c r="U504" s="19">
        <f t="shared" si="178"/>
        <v>0</v>
      </c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</row>
    <row r="505" spans="1:32" ht="22.5" x14ac:dyDescent="0.2">
      <c r="A505" s="4"/>
      <c r="B505" s="31"/>
      <c r="C505" s="42" t="s">
        <v>195</v>
      </c>
      <c r="D505" s="134" t="s">
        <v>196</v>
      </c>
      <c r="E505" s="32">
        <v>2000</v>
      </c>
      <c r="F505" s="20">
        <v>1048.5</v>
      </c>
      <c r="G505" s="11">
        <f t="shared" si="162"/>
        <v>0.52424999999999999</v>
      </c>
      <c r="H505" s="32">
        <f t="shared" si="179"/>
        <v>1398</v>
      </c>
      <c r="I505" s="20">
        <v>2500</v>
      </c>
      <c r="J505" s="11">
        <f t="shared" si="163"/>
        <v>1.25</v>
      </c>
      <c r="K505" s="24">
        <f t="shared" si="176"/>
        <v>3000</v>
      </c>
      <c r="L505" s="19">
        <f t="shared" si="177"/>
        <v>0</v>
      </c>
      <c r="M505" s="9"/>
      <c r="N505" s="9"/>
      <c r="O505" s="9"/>
      <c r="P505" s="9"/>
      <c r="Q505" s="19"/>
      <c r="R505" s="19"/>
      <c r="S505" s="9"/>
      <c r="T505" s="55">
        <v>3000</v>
      </c>
      <c r="U505" s="19">
        <f t="shared" si="178"/>
        <v>0</v>
      </c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</row>
    <row r="506" spans="1:32" ht="22.5" x14ac:dyDescent="0.2">
      <c r="A506" s="4"/>
      <c r="B506" s="31"/>
      <c r="C506" s="33" t="s">
        <v>380</v>
      </c>
      <c r="D506" s="34" t="s">
        <v>382</v>
      </c>
      <c r="E506" s="32">
        <v>0</v>
      </c>
      <c r="F506" s="20">
        <v>0</v>
      </c>
      <c r="G506" s="11">
        <v>0</v>
      </c>
      <c r="H506" s="32">
        <f t="shared" si="179"/>
        <v>0</v>
      </c>
      <c r="I506" s="20">
        <v>2000</v>
      </c>
      <c r="J506" s="11">
        <v>0</v>
      </c>
      <c r="K506" s="24"/>
      <c r="L506" s="52"/>
      <c r="M506" s="181"/>
      <c r="N506" s="181"/>
      <c r="O506" s="181"/>
      <c r="P506" s="181"/>
      <c r="Q506" s="52"/>
      <c r="R506" s="52"/>
      <c r="S506" s="180"/>
      <c r="T506" s="179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</row>
    <row r="507" spans="1:32" ht="15.75" x14ac:dyDescent="0.2">
      <c r="A507" s="3"/>
      <c r="B507" s="165" t="s">
        <v>90</v>
      </c>
      <c r="C507" s="166"/>
      <c r="D507" s="167" t="s">
        <v>91</v>
      </c>
      <c r="E507" s="168">
        <f>E508+E509+E510</f>
        <v>649.99999999999989</v>
      </c>
      <c r="F507" s="171">
        <f t="shared" ref="F507:AF507" si="180">F508+F509+F510</f>
        <v>288.16999999999996</v>
      </c>
      <c r="G507" s="170">
        <f t="shared" si="162"/>
        <v>0.44333846153846157</v>
      </c>
      <c r="H507" s="171">
        <f t="shared" si="180"/>
        <v>649.99999999999989</v>
      </c>
      <c r="I507" s="171">
        <f t="shared" si="180"/>
        <v>0</v>
      </c>
      <c r="J507" s="170">
        <f t="shared" si="163"/>
        <v>0</v>
      </c>
      <c r="K507" s="112">
        <f t="shared" si="180"/>
        <v>0</v>
      </c>
      <c r="L507" s="72">
        <f t="shared" si="180"/>
        <v>0</v>
      </c>
      <c r="M507" s="72">
        <f t="shared" si="180"/>
        <v>0</v>
      </c>
      <c r="N507" s="72">
        <f t="shared" si="180"/>
        <v>0</v>
      </c>
      <c r="O507" s="72"/>
      <c r="P507" s="72">
        <f t="shared" si="180"/>
        <v>0</v>
      </c>
      <c r="Q507" s="72">
        <f t="shared" si="180"/>
        <v>0</v>
      </c>
      <c r="R507" s="72">
        <f t="shared" si="180"/>
        <v>0</v>
      </c>
      <c r="S507" s="73">
        <f>S508+S509+S510</f>
        <v>0</v>
      </c>
      <c r="T507" s="72">
        <f t="shared" si="180"/>
        <v>0</v>
      </c>
      <c r="U507" s="72">
        <f t="shared" si="180"/>
        <v>0</v>
      </c>
      <c r="V507" s="72">
        <f t="shared" si="180"/>
        <v>0</v>
      </c>
      <c r="W507" s="72">
        <f t="shared" si="180"/>
        <v>0</v>
      </c>
      <c r="X507" s="72">
        <f t="shared" si="180"/>
        <v>0</v>
      </c>
      <c r="Y507" s="72">
        <f t="shared" si="180"/>
        <v>0</v>
      </c>
      <c r="Z507" s="72">
        <f t="shared" si="180"/>
        <v>0</v>
      </c>
      <c r="AA507" s="72">
        <f t="shared" si="180"/>
        <v>0</v>
      </c>
      <c r="AB507" s="72">
        <f t="shared" si="180"/>
        <v>0</v>
      </c>
      <c r="AC507" s="72">
        <f t="shared" si="180"/>
        <v>0</v>
      </c>
      <c r="AD507" s="72">
        <f t="shared" si="180"/>
        <v>0</v>
      </c>
      <c r="AE507" s="72">
        <f t="shared" si="180"/>
        <v>0</v>
      </c>
      <c r="AF507" s="72">
        <f t="shared" si="180"/>
        <v>0</v>
      </c>
    </row>
    <row r="508" spans="1:32" x14ac:dyDescent="0.2">
      <c r="A508" s="4"/>
      <c r="B508" s="31"/>
      <c r="C508" s="42" t="s">
        <v>116</v>
      </c>
      <c r="D508" s="134" t="s">
        <v>117</v>
      </c>
      <c r="E508" s="32">
        <v>543.16</v>
      </c>
      <c r="F508" s="20">
        <v>240.8</v>
      </c>
      <c r="G508" s="11">
        <f t="shared" si="162"/>
        <v>0.44333161499374041</v>
      </c>
      <c r="H508" s="32">
        <v>543.16</v>
      </c>
      <c r="I508" s="20">
        <v>0</v>
      </c>
      <c r="J508" s="11">
        <f t="shared" si="163"/>
        <v>0</v>
      </c>
      <c r="K508" s="24">
        <f>L508+T508+U508+AF508</f>
        <v>0</v>
      </c>
      <c r="L508" s="19">
        <f>SUM(M508:S508)</f>
        <v>0</v>
      </c>
      <c r="M508" s="9"/>
      <c r="N508" s="9"/>
      <c r="O508" s="9"/>
      <c r="P508" s="9"/>
      <c r="Q508" s="9"/>
      <c r="R508" s="9"/>
      <c r="S508" s="9"/>
      <c r="T508" s="9"/>
      <c r="U508" s="19">
        <f>SUM(V508:AE508)</f>
        <v>0</v>
      </c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x14ac:dyDescent="0.2">
      <c r="A509" s="4"/>
      <c r="B509" s="31"/>
      <c r="C509" s="42" t="s">
        <v>118</v>
      </c>
      <c r="D509" s="134" t="s">
        <v>119</v>
      </c>
      <c r="E509" s="32">
        <v>93.53</v>
      </c>
      <c r="F509" s="20">
        <v>41.47</v>
      </c>
      <c r="G509" s="11">
        <f t="shared" si="162"/>
        <v>0.44338714850849992</v>
      </c>
      <c r="H509" s="32">
        <v>93.53</v>
      </c>
      <c r="I509" s="20">
        <v>0</v>
      </c>
      <c r="J509" s="11">
        <f t="shared" si="163"/>
        <v>0</v>
      </c>
      <c r="K509" s="24">
        <f t="shared" ref="K509:K510" si="181">L509+T509+U509+AF509</f>
        <v>0</v>
      </c>
      <c r="L509" s="19">
        <f>SUM(M509:S509)</f>
        <v>0</v>
      </c>
      <c r="M509" s="9"/>
      <c r="N509" s="9"/>
      <c r="O509" s="9"/>
      <c r="P509" s="9"/>
      <c r="Q509" s="9"/>
      <c r="R509" s="9"/>
      <c r="S509" s="9"/>
      <c r="T509" s="9"/>
      <c r="U509" s="19">
        <f>SUM(V509:AE509)</f>
        <v>0</v>
      </c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x14ac:dyDescent="0.2">
      <c r="A510" s="4"/>
      <c r="B510" s="31"/>
      <c r="C510" s="42" t="s">
        <v>120</v>
      </c>
      <c r="D510" s="134" t="s">
        <v>121</v>
      </c>
      <c r="E510" s="32">
        <v>13.31</v>
      </c>
      <c r="F510" s="20">
        <v>5.9</v>
      </c>
      <c r="G510" s="11">
        <f t="shared" si="162"/>
        <v>0.44327573253193087</v>
      </c>
      <c r="H510" s="32">
        <v>13.31</v>
      </c>
      <c r="I510" s="20">
        <v>0</v>
      </c>
      <c r="J510" s="11">
        <f t="shared" si="163"/>
        <v>0</v>
      </c>
      <c r="K510" s="24">
        <f t="shared" si="181"/>
        <v>0</v>
      </c>
      <c r="L510" s="19">
        <f>SUM(M510:S510)</f>
        <v>0</v>
      </c>
      <c r="M510" s="9"/>
      <c r="N510" s="9"/>
      <c r="O510" s="9"/>
      <c r="P510" s="9"/>
      <c r="Q510" s="9"/>
      <c r="R510" s="9"/>
      <c r="S510" s="9"/>
      <c r="T510" s="9"/>
      <c r="U510" s="19">
        <f>SUM(V510:AE510)</f>
        <v>0</v>
      </c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5.75" x14ac:dyDescent="0.2">
      <c r="A511" s="3"/>
      <c r="B511" s="165" t="s">
        <v>92</v>
      </c>
      <c r="C511" s="166"/>
      <c r="D511" s="167" t="s">
        <v>93</v>
      </c>
      <c r="E511" s="168">
        <f>E512+E513+E514+E515+E516+E517+E518+E519+E520+E521+E522</f>
        <v>959790.05</v>
      </c>
      <c r="F511" s="171">
        <f t="shared" ref="F511:AF511" si="182">F512+F513+F514+F515+F516+F517+F518+F519+F520+F521+F522</f>
        <v>812278.41</v>
      </c>
      <c r="G511" s="170">
        <f t="shared" si="162"/>
        <v>0.84630842964041975</v>
      </c>
      <c r="H511" s="171">
        <f t="shared" si="182"/>
        <v>950334.81</v>
      </c>
      <c r="I511" s="171">
        <f t="shared" si="182"/>
        <v>188750</v>
      </c>
      <c r="J511" s="170">
        <f t="shared" si="163"/>
        <v>0.19665759193898708</v>
      </c>
      <c r="K511" s="112">
        <f t="shared" si="182"/>
        <v>155970</v>
      </c>
      <c r="L511" s="72">
        <f t="shared" si="182"/>
        <v>0</v>
      </c>
      <c r="M511" s="72">
        <f t="shared" si="182"/>
        <v>0</v>
      </c>
      <c r="N511" s="72">
        <f t="shared" si="182"/>
        <v>0</v>
      </c>
      <c r="O511" s="72"/>
      <c r="P511" s="72">
        <f t="shared" si="182"/>
        <v>0</v>
      </c>
      <c r="Q511" s="72">
        <f t="shared" si="182"/>
        <v>0</v>
      </c>
      <c r="R511" s="72">
        <f t="shared" si="182"/>
        <v>0</v>
      </c>
      <c r="S511" s="73">
        <f>S512+S513+S514+S515+S516+S517+S518+S519+S520+S521+S522</f>
        <v>0</v>
      </c>
      <c r="T511" s="72">
        <f t="shared" si="182"/>
        <v>155970</v>
      </c>
      <c r="U511" s="72">
        <f t="shared" si="182"/>
        <v>0</v>
      </c>
      <c r="V511" s="72">
        <f t="shared" si="182"/>
        <v>0</v>
      </c>
      <c r="W511" s="72">
        <f t="shared" si="182"/>
        <v>0</v>
      </c>
      <c r="X511" s="72">
        <f t="shared" si="182"/>
        <v>0</v>
      </c>
      <c r="Y511" s="72">
        <f t="shared" si="182"/>
        <v>0</v>
      </c>
      <c r="Z511" s="72">
        <f t="shared" si="182"/>
        <v>0</v>
      </c>
      <c r="AA511" s="72">
        <f t="shared" si="182"/>
        <v>0</v>
      </c>
      <c r="AB511" s="72">
        <f t="shared" si="182"/>
        <v>0</v>
      </c>
      <c r="AC511" s="72">
        <f t="shared" si="182"/>
        <v>0</v>
      </c>
      <c r="AD511" s="72">
        <f t="shared" si="182"/>
        <v>0</v>
      </c>
      <c r="AE511" s="72">
        <f t="shared" si="182"/>
        <v>0</v>
      </c>
      <c r="AF511" s="72">
        <f t="shared" si="182"/>
        <v>0</v>
      </c>
    </row>
    <row r="512" spans="1:32" ht="22.5" x14ac:dyDescent="0.2">
      <c r="A512" s="4"/>
      <c r="B512" s="31"/>
      <c r="C512" s="42" t="s">
        <v>171</v>
      </c>
      <c r="D512" s="134" t="s">
        <v>172</v>
      </c>
      <c r="E512" s="32">
        <v>1800</v>
      </c>
      <c r="F512" s="20">
        <v>0</v>
      </c>
      <c r="G512" s="11">
        <f t="shared" si="162"/>
        <v>0</v>
      </c>
      <c r="H512" s="32">
        <f>F512/3*4</f>
        <v>0</v>
      </c>
      <c r="I512" s="20">
        <v>1800</v>
      </c>
      <c r="J512" s="11">
        <f t="shared" si="163"/>
        <v>1</v>
      </c>
      <c r="K512" s="24">
        <f>L512+T512+U512+AF512</f>
        <v>1800</v>
      </c>
      <c r="L512" s="19">
        <f>SUM(M512:S512)</f>
        <v>0</v>
      </c>
      <c r="M512" s="19"/>
      <c r="N512" s="19"/>
      <c r="O512" s="19"/>
      <c r="P512" s="19"/>
      <c r="Q512" s="19"/>
      <c r="R512" s="19"/>
      <c r="S512" s="19"/>
      <c r="T512" s="55">
        <v>1800</v>
      </c>
      <c r="U512" s="19">
        <f>SUM(V512:AE512)</f>
        <v>0</v>
      </c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</row>
    <row r="513" spans="1:32" x14ac:dyDescent="0.2">
      <c r="A513" s="4"/>
      <c r="B513" s="31"/>
      <c r="C513" s="42" t="s">
        <v>286</v>
      </c>
      <c r="D513" s="134" t="s">
        <v>287</v>
      </c>
      <c r="E513" s="32">
        <v>749720.05</v>
      </c>
      <c r="F513" s="20">
        <v>657000</v>
      </c>
      <c r="G513" s="11">
        <f t="shared" si="162"/>
        <v>0.87632710369690658</v>
      </c>
      <c r="H513" s="32">
        <v>749720.05</v>
      </c>
      <c r="I513" s="20">
        <v>133650</v>
      </c>
      <c r="J513" s="11">
        <f t="shared" si="163"/>
        <v>0.1782665409575214</v>
      </c>
      <c r="K513" s="24">
        <f t="shared" ref="K513:K522" si="183">L513+T513+U513+AF513</f>
        <v>0</v>
      </c>
      <c r="L513" s="19">
        <f t="shared" ref="L513:L522" si="184">SUM(M513:S513)</f>
        <v>0</v>
      </c>
      <c r="M513" s="19"/>
      <c r="N513" s="19"/>
      <c r="O513" s="19"/>
      <c r="P513" s="19"/>
      <c r="Q513" s="19"/>
      <c r="R513" s="19"/>
      <c r="S513" s="19"/>
      <c r="T513" s="19">
        <v>0</v>
      </c>
      <c r="U513" s="19">
        <f t="shared" ref="U513:U522" si="185">SUM(V513:AE513)</f>
        <v>0</v>
      </c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</row>
    <row r="514" spans="1:32" x14ac:dyDescent="0.2">
      <c r="A514" s="4"/>
      <c r="B514" s="31"/>
      <c r="C514" s="42" t="s">
        <v>116</v>
      </c>
      <c r="D514" s="134" t="s">
        <v>117</v>
      </c>
      <c r="E514" s="32">
        <v>151191.4</v>
      </c>
      <c r="F514" s="20">
        <v>114818.39</v>
      </c>
      <c r="G514" s="11">
        <f t="shared" si="162"/>
        <v>0.75942408099931613</v>
      </c>
      <c r="H514" s="32">
        <v>151191.4</v>
      </c>
      <c r="I514" s="20">
        <v>10200</v>
      </c>
      <c r="J514" s="11">
        <f t="shared" si="163"/>
        <v>6.746415470721219E-2</v>
      </c>
      <c r="K514" s="24">
        <f t="shared" si="183"/>
        <v>103000</v>
      </c>
      <c r="L514" s="19">
        <f t="shared" si="184"/>
        <v>0</v>
      </c>
      <c r="M514" s="19"/>
      <c r="N514" s="19"/>
      <c r="O514" s="19"/>
      <c r="P514" s="19"/>
      <c r="Q514" s="19"/>
      <c r="R514" s="19"/>
      <c r="S514" s="19"/>
      <c r="T514" s="101">
        <v>103000</v>
      </c>
      <c r="U514" s="19">
        <f t="shared" si="185"/>
        <v>0</v>
      </c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</row>
    <row r="515" spans="1:32" x14ac:dyDescent="0.2">
      <c r="A515" s="4"/>
      <c r="B515" s="31"/>
      <c r="C515" s="42" t="s">
        <v>173</v>
      </c>
      <c r="D515" s="134" t="s">
        <v>174</v>
      </c>
      <c r="E515" s="32">
        <v>8670</v>
      </c>
      <c r="F515" s="20">
        <v>8670</v>
      </c>
      <c r="G515" s="11">
        <f t="shared" si="162"/>
        <v>1</v>
      </c>
      <c r="H515" s="32">
        <v>8670</v>
      </c>
      <c r="I515" s="20">
        <v>24700</v>
      </c>
      <c r="J515" s="11">
        <f t="shared" si="163"/>
        <v>2.8489042675893885</v>
      </c>
      <c r="K515" s="24">
        <f t="shared" si="183"/>
        <v>8670</v>
      </c>
      <c r="L515" s="19">
        <f t="shared" si="184"/>
        <v>0</v>
      </c>
      <c r="M515" s="19"/>
      <c r="N515" s="19"/>
      <c r="O515" s="19"/>
      <c r="P515" s="19"/>
      <c r="Q515" s="19"/>
      <c r="R515" s="19"/>
      <c r="S515" s="19"/>
      <c r="T515" s="55">
        <v>8670</v>
      </c>
      <c r="U515" s="19">
        <f t="shared" si="185"/>
        <v>0</v>
      </c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</row>
    <row r="516" spans="1:32" x14ac:dyDescent="0.2">
      <c r="A516" s="4"/>
      <c r="B516" s="31"/>
      <c r="C516" s="42" t="s">
        <v>118</v>
      </c>
      <c r="D516" s="134" t="s">
        <v>119</v>
      </c>
      <c r="E516" s="32">
        <v>28194</v>
      </c>
      <c r="F516" s="20">
        <v>18925.759999999998</v>
      </c>
      <c r="G516" s="11">
        <f t="shared" ref="G516:G587" si="186">F516/E516</f>
        <v>0.67126906433993039</v>
      </c>
      <c r="H516" s="32">
        <f t="shared" ref="H516:H522" si="187">F516/3*4</f>
        <v>25234.346666666665</v>
      </c>
      <c r="I516" s="20">
        <v>3500</v>
      </c>
      <c r="J516" s="11">
        <f t="shared" ref="J516:J587" si="188">I516/E516</f>
        <v>0.12413988791941548</v>
      </c>
      <c r="K516" s="24">
        <f t="shared" si="183"/>
        <v>24200</v>
      </c>
      <c r="L516" s="19">
        <f t="shared" si="184"/>
        <v>0</v>
      </c>
      <c r="M516" s="19"/>
      <c r="N516" s="19"/>
      <c r="O516" s="19"/>
      <c r="P516" s="19"/>
      <c r="Q516" s="19"/>
      <c r="R516" s="19"/>
      <c r="S516" s="19"/>
      <c r="T516" s="55">
        <v>24200</v>
      </c>
      <c r="U516" s="19">
        <f t="shared" si="185"/>
        <v>0</v>
      </c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</row>
    <row r="517" spans="1:32" x14ac:dyDescent="0.2">
      <c r="A517" s="4"/>
      <c r="B517" s="31"/>
      <c r="C517" s="42" t="s">
        <v>120</v>
      </c>
      <c r="D517" s="134" t="s">
        <v>121</v>
      </c>
      <c r="E517" s="32">
        <v>3869.6</v>
      </c>
      <c r="F517" s="20">
        <v>2278.02</v>
      </c>
      <c r="G517" s="11">
        <f t="shared" si="186"/>
        <v>0.58869650609882163</v>
      </c>
      <c r="H517" s="32">
        <f t="shared" si="187"/>
        <v>3037.36</v>
      </c>
      <c r="I517" s="20">
        <v>1000</v>
      </c>
      <c r="J517" s="11">
        <f t="shared" si="188"/>
        <v>0.25842464337399212</v>
      </c>
      <c r="K517" s="24">
        <f t="shared" si="183"/>
        <v>3400</v>
      </c>
      <c r="L517" s="19">
        <f t="shared" si="184"/>
        <v>0</v>
      </c>
      <c r="M517" s="19"/>
      <c r="N517" s="19"/>
      <c r="O517" s="19"/>
      <c r="P517" s="19"/>
      <c r="Q517" s="19"/>
      <c r="R517" s="19"/>
      <c r="S517" s="19"/>
      <c r="T517" s="55">
        <v>3400</v>
      </c>
      <c r="U517" s="19">
        <f t="shared" si="185"/>
        <v>0</v>
      </c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</row>
    <row r="518" spans="1:32" x14ac:dyDescent="0.2">
      <c r="A518" s="4"/>
      <c r="B518" s="31"/>
      <c r="C518" s="42" t="s">
        <v>122</v>
      </c>
      <c r="D518" s="134" t="s">
        <v>123</v>
      </c>
      <c r="E518" s="32">
        <v>1700</v>
      </c>
      <c r="F518" s="20">
        <v>454</v>
      </c>
      <c r="G518" s="11">
        <f t="shared" si="186"/>
        <v>0.26705882352941174</v>
      </c>
      <c r="H518" s="32">
        <f t="shared" si="187"/>
        <v>605.33333333333337</v>
      </c>
      <c r="I518" s="20">
        <v>8000</v>
      </c>
      <c r="J518" s="11">
        <f t="shared" si="188"/>
        <v>4.7058823529411766</v>
      </c>
      <c r="K518" s="24">
        <f t="shared" si="183"/>
        <v>2000</v>
      </c>
      <c r="L518" s="19">
        <f t="shared" si="184"/>
        <v>0</v>
      </c>
      <c r="M518" s="19"/>
      <c r="N518" s="19"/>
      <c r="O518" s="19"/>
      <c r="P518" s="19"/>
      <c r="Q518" s="19"/>
      <c r="R518" s="19"/>
      <c r="S518" s="19"/>
      <c r="T518" s="55">
        <v>2000</v>
      </c>
      <c r="U518" s="19">
        <f t="shared" si="185"/>
        <v>0</v>
      </c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</row>
    <row r="519" spans="1:32" x14ac:dyDescent="0.2">
      <c r="A519" s="4"/>
      <c r="B519" s="31"/>
      <c r="C519" s="42" t="s">
        <v>124</v>
      </c>
      <c r="D519" s="134" t="s">
        <v>125</v>
      </c>
      <c r="E519" s="32">
        <v>1745</v>
      </c>
      <c r="F519" s="20">
        <v>1745</v>
      </c>
      <c r="G519" s="11">
        <f t="shared" si="186"/>
        <v>1</v>
      </c>
      <c r="H519" s="32">
        <f t="shared" si="187"/>
        <v>2326.6666666666665</v>
      </c>
      <c r="I519" s="20">
        <v>0</v>
      </c>
      <c r="J519" s="11">
        <f t="shared" si="188"/>
        <v>0</v>
      </c>
      <c r="K519" s="24">
        <f t="shared" si="183"/>
        <v>0</v>
      </c>
      <c r="L519" s="19">
        <f t="shared" si="184"/>
        <v>0</v>
      </c>
      <c r="M519" s="19"/>
      <c r="N519" s="19"/>
      <c r="O519" s="19"/>
      <c r="P519" s="19"/>
      <c r="Q519" s="19"/>
      <c r="R519" s="19"/>
      <c r="S519" s="19"/>
      <c r="T519" s="19">
        <v>0</v>
      </c>
      <c r="U519" s="19">
        <f t="shared" si="185"/>
        <v>0</v>
      </c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</row>
    <row r="520" spans="1:32" x14ac:dyDescent="0.2">
      <c r="A520" s="4"/>
      <c r="B520" s="31"/>
      <c r="C520" s="42" t="s">
        <v>191</v>
      </c>
      <c r="D520" s="134" t="s">
        <v>192</v>
      </c>
      <c r="E520" s="32">
        <v>8000</v>
      </c>
      <c r="F520" s="20">
        <v>3487.24</v>
      </c>
      <c r="G520" s="11">
        <f t="shared" si="186"/>
        <v>0.43590499999999999</v>
      </c>
      <c r="H520" s="32">
        <f t="shared" si="187"/>
        <v>4649.6533333333327</v>
      </c>
      <c r="I520" s="20">
        <v>0</v>
      </c>
      <c r="J520" s="11">
        <f t="shared" si="188"/>
        <v>0</v>
      </c>
      <c r="K520" s="24">
        <f t="shared" si="183"/>
        <v>8000</v>
      </c>
      <c r="L520" s="19">
        <f t="shared" si="184"/>
        <v>0</v>
      </c>
      <c r="M520" s="19"/>
      <c r="N520" s="19"/>
      <c r="O520" s="19"/>
      <c r="P520" s="19"/>
      <c r="Q520" s="19"/>
      <c r="R520" s="19"/>
      <c r="S520" s="19"/>
      <c r="T520" s="55">
        <v>8000</v>
      </c>
      <c r="U520" s="19">
        <f t="shared" si="185"/>
        <v>0</v>
      </c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</row>
    <row r="521" spans="1:32" ht="22.5" x14ac:dyDescent="0.2">
      <c r="A521" s="4"/>
      <c r="B521" s="31"/>
      <c r="C521" s="42" t="s">
        <v>193</v>
      </c>
      <c r="D521" s="134" t="s">
        <v>194</v>
      </c>
      <c r="E521" s="32">
        <v>4900</v>
      </c>
      <c r="F521" s="20">
        <v>4900</v>
      </c>
      <c r="G521" s="11">
        <f t="shared" si="186"/>
        <v>1</v>
      </c>
      <c r="H521" s="32">
        <v>4900</v>
      </c>
      <c r="I521" s="20">
        <v>3900</v>
      </c>
      <c r="J521" s="11">
        <f t="shared" si="188"/>
        <v>0.79591836734693877</v>
      </c>
      <c r="K521" s="24">
        <f t="shared" si="183"/>
        <v>4900</v>
      </c>
      <c r="L521" s="19">
        <f t="shared" si="184"/>
        <v>0</v>
      </c>
      <c r="M521" s="19"/>
      <c r="N521" s="19"/>
      <c r="O521" s="19"/>
      <c r="P521" s="19"/>
      <c r="Q521" s="19"/>
      <c r="R521" s="19"/>
      <c r="S521" s="19"/>
      <c r="T521" s="55">
        <v>4900</v>
      </c>
      <c r="U521" s="19">
        <f t="shared" si="185"/>
        <v>0</v>
      </c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</row>
    <row r="522" spans="1:32" ht="22.5" x14ac:dyDescent="0.2">
      <c r="A522" s="4"/>
      <c r="B522" s="31"/>
      <c r="C522" s="33" t="s">
        <v>380</v>
      </c>
      <c r="D522" s="34" t="s">
        <v>382</v>
      </c>
      <c r="E522" s="32">
        <v>0</v>
      </c>
      <c r="F522" s="20">
        <v>0</v>
      </c>
      <c r="G522" s="11">
        <v>0</v>
      </c>
      <c r="H522" s="32">
        <f t="shared" si="187"/>
        <v>0</v>
      </c>
      <c r="I522" s="20">
        <v>2000</v>
      </c>
      <c r="J522" s="11">
        <v>0</v>
      </c>
      <c r="K522" s="24">
        <f t="shared" si="183"/>
        <v>0</v>
      </c>
      <c r="L522" s="19">
        <f t="shared" si="184"/>
        <v>0</v>
      </c>
      <c r="M522" s="19"/>
      <c r="N522" s="19"/>
      <c r="O522" s="19"/>
      <c r="P522" s="19"/>
      <c r="Q522" s="19"/>
      <c r="R522" s="19"/>
      <c r="S522" s="19"/>
      <c r="T522" s="19">
        <v>0</v>
      </c>
      <c r="U522" s="19">
        <f t="shared" si="185"/>
        <v>0</v>
      </c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</row>
    <row r="523" spans="1:32" ht="15.75" x14ac:dyDescent="0.2">
      <c r="A523" s="3"/>
      <c r="B523" s="165" t="s">
        <v>301</v>
      </c>
      <c r="C523" s="166"/>
      <c r="D523" s="167" t="s">
        <v>302</v>
      </c>
      <c r="E523" s="168">
        <f>E524</f>
        <v>181830</v>
      </c>
      <c r="F523" s="171">
        <f t="shared" ref="F523:AF523" si="189">F524</f>
        <v>119767.46</v>
      </c>
      <c r="G523" s="170">
        <f t="shared" si="186"/>
        <v>0.65867821591596554</v>
      </c>
      <c r="H523" s="171">
        <f t="shared" si="189"/>
        <v>159689.94666666668</v>
      </c>
      <c r="I523" s="171">
        <f t="shared" si="189"/>
        <v>212950</v>
      </c>
      <c r="J523" s="170">
        <f t="shared" si="188"/>
        <v>1.1711488753231041</v>
      </c>
      <c r="K523" s="112">
        <f t="shared" si="189"/>
        <v>171830</v>
      </c>
      <c r="L523" s="72">
        <f t="shared" si="189"/>
        <v>0</v>
      </c>
      <c r="M523" s="72">
        <f t="shared" si="189"/>
        <v>0</v>
      </c>
      <c r="N523" s="72">
        <f t="shared" si="189"/>
        <v>0</v>
      </c>
      <c r="O523" s="72"/>
      <c r="P523" s="72">
        <f t="shared" si="189"/>
        <v>0</v>
      </c>
      <c r="Q523" s="72">
        <f t="shared" si="189"/>
        <v>0</v>
      </c>
      <c r="R523" s="72">
        <f t="shared" si="189"/>
        <v>0</v>
      </c>
      <c r="S523" s="73">
        <f>S524</f>
        <v>0</v>
      </c>
      <c r="T523" s="72">
        <f t="shared" si="189"/>
        <v>171830</v>
      </c>
      <c r="U523" s="72">
        <f t="shared" si="189"/>
        <v>0</v>
      </c>
      <c r="V523" s="72">
        <f t="shared" si="189"/>
        <v>0</v>
      </c>
      <c r="W523" s="72">
        <f t="shared" si="189"/>
        <v>0</v>
      </c>
      <c r="X523" s="72">
        <f t="shared" si="189"/>
        <v>0</v>
      </c>
      <c r="Y523" s="72">
        <f t="shared" si="189"/>
        <v>0</v>
      </c>
      <c r="Z523" s="72">
        <f t="shared" si="189"/>
        <v>0</v>
      </c>
      <c r="AA523" s="72">
        <f t="shared" si="189"/>
        <v>0</v>
      </c>
      <c r="AB523" s="72">
        <f t="shared" si="189"/>
        <v>0</v>
      </c>
      <c r="AC523" s="72">
        <f t="shared" si="189"/>
        <v>0</v>
      </c>
      <c r="AD523" s="72">
        <f t="shared" si="189"/>
        <v>0</v>
      </c>
      <c r="AE523" s="72">
        <f t="shared" si="189"/>
        <v>0</v>
      </c>
      <c r="AF523" s="72">
        <f t="shared" si="189"/>
        <v>0</v>
      </c>
    </row>
    <row r="524" spans="1:32" ht="33.75" x14ac:dyDescent="0.2">
      <c r="A524" s="4"/>
      <c r="B524" s="31"/>
      <c r="C524" s="42" t="s">
        <v>233</v>
      </c>
      <c r="D524" s="134" t="s">
        <v>234</v>
      </c>
      <c r="E524" s="32">
        <v>181830</v>
      </c>
      <c r="F524" s="20">
        <v>119767.46</v>
      </c>
      <c r="G524" s="11">
        <f t="shared" si="186"/>
        <v>0.65867821591596554</v>
      </c>
      <c r="H524" s="20">
        <f>F524/3*4</f>
        <v>159689.94666666668</v>
      </c>
      <c r="I524" s="20">
        <v>212950</v>
      </c>
      <c r="J524" s="11">
        <f t="shared" si="188"/>
        <v>1.1711488753231041</v>
      </c>
      <c r="K524" s="24">
        <f>L524+T524+U524+AF524</f>
        <v>171830</v>
      </c>
      <c r="L524" s="19">
        <f>SUM(M524:S524)</f>
        <v>0</v>
      </c>
      <c r="M524" s="9"/>
      <c r="N524" s="9"/>
      <c r="O524" s="9"/>
      <c r="P524" s="9"/>
      <c r="Q524" s="19"/>
      <c r="R524" s="19"/>
      <c r="S524" s="19"/>
      <c r="T524" s="55">
        <v>171830</v>
      </c>
      <c r="U524" s="19">
        <f>SUM(V524:AE524)</f>
        <v>0</v>
      </c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</row>
    <row r="525" spans="1:32" ht="22.5" x14ac:dyDescent="0.2">
      <c r="A525" s="3"/>
      <c r="B525" s="165" t="s">
        <v>303</v>
      </c>
      <c r="C525" s="166"/>
      <c r="D525" s="167" t="s">
        <v>304</v>
      </c>
      <c r="E525" s="168">
        <f>E526</f>
        <v>178300</v>
      </c>
      <c r="F525" s="171">
        <f t="shared" ref="F525:AF525" si="190">F526</f>
        <v>117080.83</v>
      </c>
      <c r="G525" s="170">
        <f t="shared" si="186"/>
        <v>0.65665075715086929</v>
      </c>
      <c r="H525" s="171">
        <f t="shared" si="190"/>
        <v>156107.77333333335</v>
      </c>
      <c r="I525" s="171">
        <f t="shared" si="190"/>
        <v>248800</v>
      </c>
      <c r="J525" s="170">
        <f t="shared" si="188"/>
        <v>1.3954010095344924</v>
      </c>
      <c r="K525" s="112">
        <f t="shared" si="190"/>
        <v>178300</v>
      </c>
      <c r="L525" s="72">
        <f t="shared" si="190"/>
        <v>0</v>
      </c>
      <c r="M525" s="72">
        <f t="shared" si="190"/>
        <v>0</v>
      </c>
      <c r="N525" s="72">
        <f t="shared" si="190"/>
        <v>0</v>
      </c>
      <c r="O525" s="72"/>
      <c r="P525" s="72">
        <f t="shared" si="190"/>
        <v>0</v>
      </c>
      <c r="Q525" s="72">
        <f t="shared" si="190"/>
        <v>0</v>
      </c>
      <c r="R525" s="72">
        <f t="shared" si="190"/>
        <v>0</v>
      </c>
      <c r="S525" s="73">
        <f>S526</f>
        <v>0</v>
      </c>
      <c r="T525" s="72">
        <f t="shared" si="190"/>
        <v>178300</v>
      </c>
      <c r="U525" s="72">
        <f t="shared" si="190"/>
        <v>0</v>
      </c>
      <c r="V525" s="72">
        <f t="shared" si="190"/>
        <v>0</v>
      </c>
      <c r="W525" s="72">
        <f t="shared" si="190"/>
        <v>0</v>
      </c>
      <c r="X525" s="72">
        <f t="shared" si="190"/>
        <v>0</v>
      </c>
      <c r="Y525" s="72">
        <f t="shared" si="190"/>
        <v>0</v>
      </c>
      <c r="Z525" s="72">
        <f t="shared" si="190"/>
        <v>0</v>
      </c>
      <c r="AA525" s="72">
        <f t="shared" si="190"/>
        <v>0</v>
      </c>
      <c r="AB525" s="72">
        <f t="shared" si="190"/>
        <v>0</v>
      </c>
      <c r="AC525" s="72">
        <f t="shared" si="190"/>
        <v>0</v>
      </c>
      <c r="AD525" s="72">
        <f t="shared" si="190"/>
        <v>0</v>
      </c>
      <c r="AE525" s="72">
        <f t="shared" si="190"/>
        <v>0</v>
      </c>
      <c r="AF525" s="72">
        <f t="shared" si="190"/>
        <v>0</v>
      </c>
    </row>
    <row r="526" spans="1:32" ht="33.75" x14ac:dyDescent="0.2">
      <c r="A526" s="4"/>
      <c r="B526" s="31"/>
      <c r="C526" s="42" t="s">
        <v>233</v>
      </c>
      <c r="D526" s="134" t="s">
        <v>234</v>
      </c>
      <c r="E526" s="32">
        <v>178300</v>
      </c>
      <c r="F526" s="20">
        <v>117080.83</v>
      </c>
      <c r="G526" s="11">
        <f t="shared" si="186"/>
        <v>0.65665075715086929</v>
      </c>
      <c r="H526" s="20">
        <f>F526/3*4</f>
        <v>156107.77333333335</v>
      </c>
      <c r="I526" s="20">
        <v>248800</v>
      </c>
      <c r="J526" s="11">
        <f t="shared" si="188"/>
        <v>1.3954010095344924</v>
      </c>
      <c r="K526" s="24">
        <f>L526+T526+U526+AF526</f>
        <v>178300</v>
      </c>
      <c r="L526" s="29">
        <f>SUM(M526:S526)</f>
        <v>0</v>
      </c>
      <c r="M526" s="41"/>
      <c r="N526" s="41"/>
      <c r="O526" s="41"/>
      <c r="P526" s="29"/>
      <c r="Q526" s="29"/>
      <c r="R526" s="29"/>
      <c r="S526" s="41"/>
      <c r="T526" s="56">
        <v>178300</v>
      </c>
      <c r="U526" s="29">
        <f>SUM(V526:AE526)</f>
        <v>0</v>
      </c>
      <c r="V526" s="29"/>
      <c r="W526" s="29"/>
      <c r="X526" s="29"/>
      <c r="Y526" s="29"/>
      <c r="Z526" s="29"/>
      <c r="AA526" s="29"/>
      <c r="AB526" s="41"/>
      <c r="AC526" s="41"/>
      <c r="AD526" s="41"/>
      <c r="AE526" s="41"/>
      <c r="AF526" s="41"/>
    </row>
    <row r="527" spans="1:32" ht="111" customHeight="1" x14ac:dyDescent="0.2">
      <c r="A527" s="31"/>
      <c r="B527" s="172" t="s">
        <v>356</v>
      </c>
      <c r="C527" s="173"/>
      <c r="D527" s="177" t="s">
        <v>357</v>
      </c>
      <c r="E527" s="168">
        <f>E529+E528</f>
        <v>90927</v>
      </c>
      <c r="F527" s="168">
        <f>F529+F528</f>
        <v>64535.670000000006</v>
      </c>
      <c r="G527" s="170">
        <v>0</v>
      </c>
      <c r="H527" s="178">
        <f>H529</f>
        <v>87927</v>
      </c>
      <c r="I527" s="178">
        <f>I529</f>
        <v>43668</v>
      </c>
      <c r="J527" s="170">
        <v>0</v>
      </c>
      <c r="K527" s="128">
        <f>K529</f>
        <v>60927</v>
      </c>
      <c r="L527" s="79">
        <f>SUM(M527:S527)</f>
        <v>0</v>
      </c>
      <c r="M527" s="80"/>
      <c r="N527" s="80"/>
      <c r="O527" s="80"/>
      <c r="P527" s="79"/>
      <c r="Q527" s="79"/>
      <c r="R527" s="79"/>
      <c r="S527" s="80"/>
      <c r="T527" s="79">
        <f>T529</f>
        <v>60927</v>
      </c>
      <c r="U527" s="79"/>
      <c r="V527" s="79"/>
      <c r="W527" s="79"/>
      <c r="X527" s="79"/>
      <c r="Y527" s="79"/>
      <c r="Z527" s="79"/>
      <c r="AA527" s="79"/>
      <c r="AB527" s="80"/>
      <c r="AC527" s="80"/>
      <c r="AD527" s="80"/>
      <c r="AE527" s="80"/>
      <c r="AF527" s="80"/>
    </row>
    <row r="528" spans="1:32" ht="77.25" customHeight="1" x14ac:dyDescent="0.2">
      <c r="A528" s="31"/>
      <c r="B528" s="153"/>
      <c r="C528" s="148" t="s">
        <v>66</v>
      </c>
      <c r="D528" s="107" t="s">
        <v>283</v>
      </c>
      <c r="E528" s="145">
        <v>3000</v>
      </c>
      <c r="F528" s="145">
        <v>427.41</v>
      </c>
      <c r="G528" s="14">
        <f>F528/E528</f>
        <v>0.14247000000000001</v>
      </c>
      <c r="H528" s="40">
        <f>F528/3*4</f>
        <v>569.88</v>
      </c>
      <c r="I528" s="40">
        <v>0</v>
      </c>
      <c r="J528" s="14">
        <v>0</v>
      </c>
      <c r="K528" s="128"/>
      <c r="L528" s="79"/>
      <c r="M528" s="80"/>
      <c r="N528" s="80"/>
      <c r="O528" s="80"/>
      <c r="P528" s="79"/>
      <c r="Q528" s="79"/>
      <c r="R528" s="79"/>
      <c r="S528" s="80"/>
      <c r="T528" s="79"/>
      <c r="U528" s="79"/>
      <c r="V528" s="79"/>
      <c r="W528" s="79"/>
      <c r="X528" s="79"/>
      <c r="Y528" s="79"/>
      <c r="Z528" s="79"/>
      <c r="AA528" s="79"/>
      <c r="AB528" s="80"/>
      <c r="AC528" s="80"/>
      <c r="AD528" s="80"/>
      <c r="AE528" s="80"/>
      <c r="AF528" s="80"/>
    </row>
    <row r="529" spans="1:32" x14ac:dyDescent="0.2">
      <c r="A529" s="31"/>
      <c r="B529" s="117"/>
      <c r="C529" s="42" t="s">
        <v>284</v>
      </c>
      <c r="D529" s="134" t="s">
        <v>285</v>
      </c>
      <c r="E529" s="32">
        <v>87927</v>
      </c>
      <c r="F529" s="20">
        <v>64108.26</v>
      </c>
      <c r="G529" s="11">
        <f>F529/E529</f>
        <v>0.72910778259237774</v>
      </c>
      <c r="H529" s="20">
        <v>87927</v>
      </c>
      <c r="I529" s="20">
        <v>43668</v>
      </c>
      <c r="J529" s="11">
        <v>0</v>
      </c>
      <c r="K529" s="124">
        <f>L529+T529+U529+AF529</f>
        <v>60927</v>
      </c>
      <c r="L529" s="19">
        <f>SUM(M529:S529)</f>
        <v>0</v>
      </c>
      <c r="M529" s="9"/>
      <c r="N529" s="9"/>
      <c r="O529" s="9"/>
      <c r="P529" s="19"/>
      <c r="Q529" s="19"/>
      <c r="R529" s="19"/>
      <c r="S529" s="9"/>
      <c r="T529" s="55">
        <v>60927</v>
      </c>
      <c r="U529" s="19"/>
      <c r="V529" s="19"/>
      <c r="W529" s="19"/>
      <c r="X529" s="19"/>
      <c r="Y529" s="19"/>
      <c r="Z529" s="19"/>
      <c r="AA529" s="19"/>
      <c r="AB529" s="9"/>
      <c r="AC529" s="9"/>
      <c r="AD529" s="9"/>
      <c r="AE529" s="9"/>
      <c r="AF529" s="9"/>
    </row>
    <row r="530" spans="1:32" ht="22.5" x14ac:dyDescent="0.2">
      <c r="A530" s="155" t="s">
        <v>94</v>
      </c>
      <c r="B530" s="162"/>
      <c r="C530" s="157"/>
      <c r="D530" s="158" t="s">
        <v>95</v>
      </c>
      <c r="E530" s="159">
        <f>+E531+E538+E550+E553+E558+E561+E569+E574+E579</f>
        <v>8161982.0099999998</v>
      </c>
      <c r="F530" s="159">
        <f>+F531+F538+F550+F553+F558+F561+F569+F574+F579</f>
        <v>5308957.4000000004</v>
      </c>
      <c r="G530" s="184">
        <f>F530/E530</f>
        <v>0.65044953462228972</v>
      </c>
      <c r="H530" s="135">
        <f>H531+H538+H550+H553+H558+H561+H569+H579+H574</f>
        <v>7486627.1600000001</v>
      </c>
      <c r="I530" s="135">
        <f>I531+I538+I550+I553+I558+I561+I569+I579+I574</f>
        <v>8750427.0800000001</v>
      </c>
      <c r="J530" s="184">
        <f>I530/E530</f>
        <v>1.0720958548155388</v>
      </c>
      <c r="K530" s="48" t="e">
        <f>K531+K538+K550+K553+K558+K561+K569+#REF!+K579+K574</f>
        <v>#REF!</v>
      </c>
      <c r="L530" s="27" t="e">
        <f>L531+L538+L550+L553+L558+L561+L569+#REF!+L579+L574</f>
        <v>#REF!</v>
      </c>
      <c r="M530" s="27" t="e">
        <f>M531+M538+M550+M553+M558+M561+M569+#REF!+M579+M574</f>
        <v>#REF!</v>
      </c>
      <c r="N530" s="27" t="e">
        <f>N531+N538+N550+N553+N558+N561+N569+#REF!+N579+N574</f>
        <v>#REF!</v>
      </c>
      <c r="O530" s="27"/>
      <c r="P530" s="27" t="e">
        <f>P531+P538+P550+P553+P558+P561+P569+#REF!+P579+P574</f>
        <v>#REF!</v>
      </c>
      <c r="Q530" s="27" t="e">
        <f>Q531+Q538+Q550+Q553+Q558+Q561+Q569+#REF!+Q579+Q574</f>
        <v>#REF!</v>
      </c>
      <c r="R530" s="27" t="e">
        <f>R531+R538+R550+R553+R558+R561+R569+#REF!+R579+R574</f>
        <v>#REF!</v>
      </c>
      <c r="S530" s="27" t="e">
        <f>S531+S538+S550+S553+S558+S561+S569+#REF!+S579+S574</f>
        <v>#REF!</v>
      </c>
      <c r="T530" s="27" t="e">
        <f>T531+T538+T550+T553+T558+T561+T569+#REF!+T579+T574</f>
        <v>#REF!</v>
      </c>
      <c r="U530" s="27" t="e">
        <f>U531+U538+U550+U553+U558+U561+U569+#REF!+U579+U574</f>
        <v>#REF!</v>
      </c>
      <c r="V530" s="27" t="e">
        <f>V531+V538+V550+V553+V558+V561+V569+#REF!+V579+V574</f>
        <v>#REF!</v>
      </c>
      <c r="W530" s="27" t="e">
        <f>W531+W538+W550+W553+W558+W561+W569+#REF!+W579+W574</f>
        <v>#REF!</v>
      </c>
      <c r="X530" s="27" t="e">
        <f>X531+X538+X550+X553+X558+X561+X569+#REF!+X579+X574</f>
        <v>#REF!</v>
      </c>
      <c r="Y530" s="27" t="e">
        <f>Y531+Y538+Y550+Y553+Y558+Y561+Y569+#REF!+Y579+Y574</f>
        <v>#REF!</v>
      </c>
      <c r="Z530" s="27" t="e">
        <f>Z531+Z538+Z550+Z553+Z558+Z561+Z569+#REF!+Z579+Z574</f>
        <v>#REF!</v>
      </c>
      <c r="AA530" s="27" t="e">
        <f>AA531+AA538+AA550+AA553+AA558+AA561+AA569+#REF!+AA579+AA574</f>
        <v>#REF!</v>
      </c>
      <c r="AB530" s="27" t="e">
        <f>AB531+AB538+AB550+AB553+AB558+AB561+AB569+#REF!+AB579+AB574</f>
        <v>#REF!</v>
      </c>
      <c r="AC530" s="27" t="e">
        <f>AC531+AC538+AC550+AC553+AC558+AC561+AC569+#REF!+AC579+AC574</f>
        <v>#REF!</v>
      </c>
      <c r="AD530" s="27" t="e">
        <f>AD531+AD538+AD550+AD553+AD558+AD561+AD569+#REF!+AD579+AD574</f>
        <v>#REF!</v>
      </c>
      <c r="AE530" s="27" t="e">
        <f>AE531+AE538+AE550+AE553+AE558+AE561+AE569+#REF!+AE579+AE574</f>
        <v>#REF!</v>
      </c>
      <c r="AF530" s="27" t="e">
        <f>AF531+AF538+AF550+AF553+AF558+AF561+AF569+#REF!+AF579+AF574</f>
        <v>#REF!</v>
      </c>
    </row>
    <row r="531" spans="1:32" ht="22.5" x14ac:dyDescent="0.2">
      <c r="A531" s="3"/>
      <c r="B531" s="165" t="s">
        <v>305</v>
      </c>
      <c r="C531" s="166"/>
      <c r="D531" s="167" t="s">
        <v>306</v>
      </c>
      <c r="E531" s="168">
        <f>SUM(E532:E537)</f>
        <v>483852.9</v>
      </c>
      <c r="F531" s="168">
        <f>SUM(F532:F537)</f>
        <v>115420.23</v>
      </c>
      <c r="G531" s="169">
        <f>F531/E531</f>
        <v>0.23854404923479841</v>
      </c>
      <c r="H531" s="168">
        <f>H533+H534+H535+H536+H537+H532</f>
        <v>411368.9</v>
      </c>
      <c r="I531" s="168">
        <f>SUM(I533:I537)</f>
        <v>630000</v>
      </c>
      <c r="J531" s="170">
        <f>I531/E531</f>
        <v>1.3020486184954145</v>
      </c>
      <c r="K531" s="112" t="e">
        <f>K533+K534+K536+K537+K535+#REF!</f>
        <v>#REF!</v>
      </c>
      <c r="L531" s="72">
        <f>L533+L534+L536+L537+L535</f>
        <v>400000</v>
      </c>
      <c r="M531" s="72">
        <f>M533+M534+M536+M537+M535</f>
        <v>60000</v>
      </c>
      <c r="N531" s="72">
        <f>N533+N534+N536+N537+N535</f>
        <v>340000</v>
      </c>
      <c r="O531" s="72"/>
      <c r="P531" s="72">
        <f t="shared" ref="P531:AF531" si="191">P533+P534+P536+P537+P535</f>
        <v>0</v>
      </c>
      <c r="Q531" s="72">
        <f t="shared" si="191"/>
        <v>0</v>
      </c>
      <c r="R531" s="72">
        <f t="shared" si="191"/>
        <v>0</v>
      </c>
      <c r="S531" s="72">
        <f t="shared" si="191"/>
        <v>0</v>
      </c>
      <c r="T531" s="72">
        <f t="shared" si="191"/>
        <v>0</v>
      </c>
      <c r="U531" s="72">
        <f t="shared" si="191"/>
        <v>0</v>
      </c>
      <c r="V531" s="72">
        <f t="shared" si="191"/>
        <v>0</v>
      </c>
      <c r="W531" s="72">
        <f t="shared" si="191"/>
        <v>0</v>
      </c>
      <c r="X531" s="72">
        <f t="shared" si="191"/>
        <v>0</v>
      </c>
      <c r="Y531" s="72">
        <f t="shared" si="191"/>
        <v>0</v>
      </c>
      <c r="Z531" s="72">
        <f t="shared" si="191"/>
        <v>0</v>
      </c>
      <c r="AA531" s="72">
        <f t="shared" si="191"/>
        <v>0</v>
      </c>
      <c r="AB531" s="72">
        <f t="shared" si="191"/>
        <v>0</v>
      </c>
      <c r="AC531" s="72">
        <f t="shared" si="191"/>
        <v>0</v>
      </c>
      <c r="AD531" s="72">
        <f t="shared" si="191"/>
        <v>0</v>
      </c>
      <c r="AE531" s="72">
        <f t="shared" si="191"/>
        <v>0</v>
      </c>
      <c r="AF531" s="72">
        <f t="shared" si="191"/>
        <v>0</v>
      </c>
    </row>
    <row r="532" spans="1:32" ht="15" x14ac:dyDescent="0.2">
      <c r="A532" s="3"/>
      <c r="B532" s="143"/>
      <c r="C532" s="137" t="s">
        <v>128</v>
      </c>
      <c r="D532" s="144" t="s">
        <v>129</v>
      </c>
      <c r="E532" s="145">
        <v>1368.9</v>
      </c>
      <c r="F532" s="145">
        <v>1368.9</v>
      </c>
      <c r="G532" s="154">
        <f>F532/E532</f>
        <v>1</v>
      </c>
      <c r="H532" s="145">
        <v>1368.9</v>
      </c>
      <c r="I532" s="145">
        <v>0</v>
      </c>
      <c r="J532" s="14">
        <v>0</v>
      </c>
      <c r="K532" s="150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1"/>
      <c r="AE532" s="151"/>
      <c r="AF532" s="151"/>
    </row>
    <row r="533" spans="1:32" x14ac:dyDescent="0.2">
      <c r="A533" s="4"/>
      <c r="B533" s="31"/>
      <c r="C533" s="42" t="s">
        <v>122</v>
      </c>
      <c r="D533" s="134" t="s">
        <v>123</v>
      </c>
      <c r="E533" s="32">
        <v>10000</v>
      </c>
      <c r="F533" s="20">
        <v>0</v>
      </c>
      <c r="G533" s="11">
        <v>0</v>
      </c>
      <c r="H533" s="32">
        <v>0</v>
      </c>
      <c r="I533" s="20">
        <v>0</v>
      </c>
      <c r="J533" s="11">
        <v>0</v>
      </c>
      <c r="K533" s="24">
        <f>L533+T533+U533+AF533</f>
        <v>10000</v>
      </c>
      <c r="L533" s="19">
        <f t="shared" ref="L533:L537" si="192">SUM(M533:S533)</f>
        <v>10000</v>
      </c>
      <c r="M533" s="19"/>
      <c r="N533" s="55">
        <v>10000</v>
      </c>
      <c r="O533" s="55"/>
      <c r="P533" s="19"/>
      <c r="Q533" s="19"/>
      <c r="R533" s="19"/>
      <c r="S533" s="19"/>
      <c r="T533" s="19"/>
      <c r="U533" s="19">
        <f>SUM(V533:AE533)</f>
        <v>0</v>
      </c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</row>
    <row r="534" spans="1:32" x14ac:dyDescent="0.2">
      <c r="A534" s="4"/>
      <c r="B534" s="31"/>
      <c r="C534" s="42" t="s">
        <v>124</v>
      </c>
      <c r="D534" s="134" t="s">
        <v>125</v>
      </c>
      <c r="E534" s="32">
        <v>282484</v>
      </c>
      <c r="F534" s="20">
        <v>70698.33</v>
      </c>
      <c r="G534" s="11">
        <f t="shared" si="186"/>
        <v>0.25027375001770014</v>
      </c>
      <c r="H534" s="32">
        <v>260000</v>
      </c>
      <c r="I534" s="20">
        <v>400000</v>
      </c>
      <c r="J534" s="11">
        <f t="shared" si="188"/>
        <v>1.4160094023024312</v>
      </c>
      <c r="K534" s="24">
        <f t="shared" ref="K534:K537" si="193">L534+T534+U534+AF534</f>
        <v>200000</v>
      </c>
      <c r="L534" s="19">
        <f t="shared" si="192"/>
        <v>200000</v>
      </c>
      <c r="M534" s="19"/>
      <c r="N534" s="101">
        <v>200000</v>
      </c>
      <c r="O534" s="55"/>
      <c r="P534" s="19"/>
      <c r="Q534" s="19"/>
      <c r="R534" s="19"/>
      <c r="S534" s="19"/>
      <c r="T534" s="19"/>
      <c r="U534" s="19">
        <f>SUM(V534:AE534)</f>
        <v>0</v>
      </c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</row>
    <row r="535" spans="1:32" x14ac:dyDescent="0.2">
      <c r="A535" s="4"/>
      <c r="B535" s="31"/>
      <c r="C535" s="33" t="s">
        <v>126</v>
      </c>
      <c r="D535" s="34" t="s">
        <v>355</v>
      </c>
      <c r="E535" s="32">
        <v>50000</v>
      </c>
      <c r="F535" s="20">
        <v>31353</v>
      </c>
      <c r="G535" s="11">
        <f>F535/E535</f>
        <v>0.62705999999999995</v>
      </c>
      <c r="H535" s="32">
        <v>50000</v>
      </c>
      <c r="I535" s="20">
        <v>80000</v>
      </c>
      <c r="J535" s="11">
        <v>0</v>
      </c>
      <c r="K535" s="24">
        <f t="shared" si="193"/>
        <v>50000</v>
      </c>
      <c r="L535" s="19">
        <f t="shared" si="192"/>
        <v>50000</v>
      </c>
      <c r="M535" s="19"/>
      <c r="N535" s="55">
        <v>50000</v>
      </c>
      <c r="O535" s="55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</row>
    <row r="536" spans="1:32" ht="22.5" x14ac:dyDescent="0.2">
      <c r="A536" s="4"/>
      <c r="B536" s="31"/>
      <c r="C536" s="33" t="s">
        <v>142</v>
      </c>
      <c r="D536" s="134" t="s">
        <v>143</v>
      </c>
      <c r="E536" s="32">
        <v>80000</v>
      </c>
      <c r="F536" s="20">
        <v>0</v>
      </c>
      <c r="G536" s="11">
        <f>F536/E536</f>
        <v>0</v>
      </c>
      <c r="H536" s="32">
        <v>50000</v>
      </c>
      <c r="I536" s="20">
        <v>120000</v>
      </c>
      <c r="J536" s="11">
        <f t="shared" si="188"/>
        <v>1.5</v>
      </c>
      <c r="K536" s="104">
        <f t="shared" si="193"/>
        <v>80000</v>
      </c>
      <c r="L536" s="19">
        <f t="shared" si="192"/>
        <v>80000</v>
      </c>
      <c r="M536" s="19"/>
      <c r="N536" s="55">
        <v>80000</v>
      </c>
      <c r="O536" s="55"/>
      <c r="P536" s="19"/>
      <c r="Q536" s="19"/>
      <c r="R536" s="19"/>
      <c r="S536" s="19"/>
      <c r="T536" s="19"/>
      <c r="U536" s="19">
        <f>SUM(V536:AE536)</f>
        <v>0</v>
      </c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</row>
    <row r="537" spans="1:32" ht="67.5" x14ac:dyDescent="0.2">
      <c r="A537" s="4"/>
      <c r="B537" s="31"/>
      <c r="C537" s="42" t="s">
        <v>210</v>
      </c>
      <c r="D537" s="134" t="s">
        <v>211</v>
      </c>
      <c r="E537" s="32">
        <v>60000</v>
      </c>
      <c r="F537" s="20">
        <v>12000</v>
      </c>
      <c r="G537" s="11">
        <f t="shared" si="186"/>
        <v>0.2</v>
      </c>
      <c r="H537" s="32">
        <v>50000</v>
      </c>
      <c r="I537" s="20">
        <v>30000</v>
      </c>
      <c r="J537" s="11">
        <f t="shared" si="188"/>
        <v>0.5</v>
      </c>
      <c r="K537" s="104">
        <f t="shared" si="193"/>
        <v>60000</v>
      </c>
      <c r="L537" s="19">
        <f t="shared" si="192"/>
        <v>60000</v>
      </c>
      <c r="M537" s="55">
        <v>60000</v>
      </c>
      <c r="N537" s="19"/>
      <c r="O537" s="19"/>
      <c r="P537" s="19"/>
      <c r="Q537" s="19"/>
      <c r="R537" s="19"/>
      <c r="S537" s="19"/>
      <c r="T537" s="19"/>
      <c r="U537" s="19">
        <f>SUM(V537:AE537)</f>
        <v>0</v>
      </c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</row>
    <row r="538" spans="1:32" ht="15.75" x14ac:dyDescent="0.2">
      <c r="A538" s="3"/>
      <c r="B538" s="165" t="s">
        <v>96</v>
      </c>
      <c r="C538" s="166"/>
      <c r="D538" s="167" t="s">
        <v>97</v>
      </c>
      <c r="E538" s="168">
        <f>SUM(E539:E549)</f>
        <v>4876814.3099999996</v>
      </c>
      <c r="F538" s="168">
        <f>SUM(F539:F549)</f>
        <v>3629987.15</v>
      </c>
      <c r="G538" s="170">
        <f t="shared" si="186"/>
        <v>0.74433573215134374</v>
      </c>
      <c r="H538" s="168">
        <f>H539+H540+H541+H542+H543+H544+H545+H546+H547+H548+H549</f>
        <v>4867148.8666666662</v>
      </c>
      <c r="I538" s="168">
        <f>I539+I540+I541+I542+I543+I544+I545+I546+I547+I548+I549</f>
        <v>4964809.5199999996</v>
      </c>
      <c r="J538" s="170">
        <f t="shared" si="188"/>
        <v>1.018043584275818</v>
      </c>
      <c r="K538" s="112" t="e">
        <f>K539+K540+K541+K542+K543+#REF!+K544+K545+K546+K548+K549+K547+#REF!</f>
        <v>#REF!</v>
      </c>
      <c r="L538" s="75" t="e">
        <f>L539+L540+L541+L542+L543+#REF!+L544+L545+L546+L548+L549+L547+#REF!</f>
        <v>#REF!</v>
      </c>
      <c r="M538" s="75" t="e">
        <f>M539+M540+M541+M542+M543+#REF!+M544+M545+M546+M548+M549+M547</f>
        <v>#REF!</v>
      </c>
      <c r="N538" s="75" t="e">
        <f>N539+N540+N541+N542+N543+#REF!+N544+N545+N546+N548+N549</f>
        <v>#REF!</v>
      </c>
      <c r="O538" s="75"/>
      <c r="P538" s="75" t="e">
        <f>P539+P540+P541+P542+P543+#REF!+P544+P545+P546+P548+P549</f>
        <v>#REF!</v>
      </c>
      <c r="Q538" s="75" t="e">
        <f>Q539+Q540+Q541+Q542+Q543+#REF!+Q544+Q545+Q546+Q548+Q549</f>
        <v>#REF!</v>
      </c>
      <c r="R538" s="75" t="e">
        <f>R539+R540+R541+R542+R543+#REF!+R544+R545+R546+R548+R549</f>
        <v>#REF!</v>
      </c>
      <c r="S538" s="76" t="e">
        <f>S539+S540+S541+S542+S543+#REF!+S544+S545+S546+S548+S549</f>
        <v>#REF!</v>
      </c>
      <c r="T538" s="75" t="e">
        <f>T539+T540+T541+T542+T543+#REF!+T544+T545+T546+T548+T549</f>
        <v>#REF!</v>
      </c>
      <c r="U538" s="75" t="e">
        <f>U539+U540+U541+U542+U543+#REF!+U544+U545+U546+U548+U549</f>
        <v>#REF!</v>
      </c>
      <c r="V538" s="75" t="e">
        <f>V539+V540+V541+V542+V543+#REF!+V544+V545+V546+V548+V549</f>
        <v>#REF!</v>
      </c>
      <c r="W538" s="75" t="e">
        <f>W539+W540+W541+W542+W543+#REF!+W544+W545+W546+W548+W549</f>
        <v>#REF!</v>
      </c>
      <c r="X538" s="75" t="e">
        <f>X539+X540+X541+X542+X543+#REF!+X544+X545+X546+X548+X549</f>
        <v>#REF!</v>
      </c>
      <c r="Y538" s="75" t="e">
        <f>Y539+Y540+Y541+Y542+Y543+#REF!+Y544+Y545+Y546+Y548+Y549</f>
        <v>#REF!</v>
      </c>
      <c r="Z538" s="75" t="e">
        <f>Z539+Z540+Z541+Z542+Z543+#REF!+Z544+Z545+Z546+Z548+Z549</f>
        <v>#REF!</v>
      </c>
      <c r="AA538" s="75" t="e">
        <f>AA539+AA540+AA541+AA542+AA543+#REF!+AA544+AA545+AA546+AA548+AA549</f>
        <v>#REF!</v>
      </c>
      <c r="AB538" s="75" t="e">
        <f>AB539+AB540+AB541+AB542+AB543+#REF!+AB544+AB545+AB546+AB548+AB549</f>
        <v>#REF!</v>
      </c>
      <c r="AC538" s="75" t="e">
        <f>AC539+AC540+AC541+AC542+AC543+#REF!+AC544+AC545+AC546+AC548+AC549</f>
        <v>#REF!</v>
      </c>
      <c r="AD538" s="75" t="e">
        <f>AD539+AD540+AD541+AD542+AD543+#REF!+AD544+AD545+AD546+AD548+AD549</f>
        <v>#REF!</v>
      </c>
      <c r="AE538" s="75" t="e">
        <f>AE539+AE540+AE541+AE542+AE543+#REF!+AE544+AE545+AE546+AE548+AE549</f>
        <v>#REF!</v>
      </c>
      <c r="AF538" s="75" t="e">
        <f>AF539+AF540+AF541+AF542+AF543+#REF!+AF544+AF545+AF546+AF548+AF549</f>
        <v>#REF!</v>
      </c>
    </row>
    <row r="539" spans="1:32" ht="45" hidden="1" x14ac:dyDescent="0.2">
      <c r="A539" s="4"/>
      <c r="B539" s="31"/>
      <c r="C539" s="42" t="s">
        <v>241</v>
      </c>
      <c r="D539" s="134" t="s">
        <v>242</v>
      </c>
      <c r="E539" s="32">
        <v>0</v>
      </c>
      <c r="F539" s="20">
        <v>0</v>
      </c>
      <c r="G539" s="11">
        <v>0</v>
      </c>
      <c r="H539" s="20">
        <v>0</v>
      </c>
      <c r="I539" s="20">
        <f>K539</f>
        <v>0</v>
      </c>
      <c r="J539" s="11">
        <v>0</v>
      </c>
      <c r="K539" s="24">
        <f>L539+T539+U539+AF539</f>
        <v>0</v>
      </c>
      <c r="L539" s="19">
        <f>SUM(M539:S539)</f>
        <v>0</v>
      </c>
      <c r="M539" s="19"/>
      <c r="N539" s="18"/>
      <c r="O539" s="18"/>
      <c r="P539" s="18"/>
      <c r="Q539" s="19"/>
      <c r="R539" s="18"/>
      <c r="S539" s="18"/>
      <c r="T539" s="18"/>
      <c r="U539" s="19">
        <f>SUM(V539:AE539)</f>
        <v>0</v>
      </c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</row>
    <row r="540" spans="1:32" x14ac:dyDescent="0.2">
      <c r="A540" s="4"/>
      <c r="B540" s="31"/>
      <c r="C540" s="42" t="s">
        <v>116</v>
      </c>
      <c r="D540" s="134" t="s">
        <v>117</v>
      </c>
      <c r="E540" s="32">
        <v>153277.32999999999</v>
      </c>
      <c r="F540" s="20">
        <v>112761.52</v>
      </c>
      <c r="G540" s="11">
        <f t="shared" si="186"/>
        <v>0.73566991283055372</v>
      </c>
      <c r="H540" s="32">
        <f>F540/3*4</f>
        <v>150348.69333333333</v>
      </c>
      <c r="I540" s="20">
        <v>159385.91</v>
      </c>
      <c r="J540" s="11">
        <f t="shared" si="188"/>
        <v>1.0398531211367006</v>
      </c>
      <c r="K540" s="24">
        <f t="shared" ref="K540:K549" si="194">L540+T540+U540+AF540</f>
        <v>153277.32999999999</v>
      </c>
      <c r="L540" s="19">
        <f t="shared" ref="L540:L549" si="195">SUM(M540:S540)</f>
        <v>153277.32999999999</v>
      </c>
      <c r="M540" s="55">
        <v>153277.32999999999</v>
      </c>
      <c r="N540" s="18"/>
      <c r="O540" s="18"/>
      <c r="P540" s="18"/>
      <c r="Q540" s="19">
        <v>0</v>
      </c>
      <c r="R540" s="18"/>
      <c r="S540" s="18"/>
      <c r="T540" s="18"/>
      <c r="U540" s="19">
        <f t="shared" ref="U540:U549" si="196">SUM(V540:AE540)</f>
        <v>0</v>
      </c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</row>
    <row r="541" spans="1:32" x14ac:dyDescent="0.2">
      <c r="A541" s="4"/>
      <c r="B541" s="31"/>
      <c r="C541" s="42" t="s">
        <v>173</v>
      </c>
      <c r="D541" s="134" t="s">
        <v>174</v>
      </c>
      <c r="E541" s="32">
        <v>11195.52</v>
      </c>
      <c r="F541" s="20">
        <v>10722.04</v>
      </c>
      <c r="G541" s="11">
        <f t="shared" si="186"/>
        <v>0.95770808323329337</v>
      </c>
      <c r="H541" s="32">
        <v>11195.52</v>
      </c>
      <c r="I541" s="20">
        <v>13153.21</v>
      </c>
      <c r="J541" s="11">
        <f t="shared" si="188"/>
        <v>1.1748636954781913</v>
      </c>
      <c r="K541" s="24">
        <f t="shared" si="194"/>
        <v>11195.52</v>
      </c>
      <c r="L541" s="19">
        <f t="shared" si="195"/>
        <v>11195.52</v>
      </c>
      <c r="M541" s="55">
        <v>11195.52</v>
      </c>
      <c r="N541" s="18"/>
      <c r="O541" s="18"/>
      <c r="P541" s="18"/>
      <c r="Q541" s="19">
        <v>0</v>
      </c>
      <c r="R541" s="18"/>
      <c r="S541" s="18"/>
      <c r="T541" s="18"/>
      <c r="U541" s="19">
        <f t="shared" si="196"/>
        <v>0</v>
      </c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</row>
    <row r="542" spans="1:32" x14ac:dyDescent="0.2">
      <c r="A542" s="4"/>
      <c r="B542" s="31"/>
      <c r="C542" s="42" t="s">
        <v>118</v>
      </c>
      <c r="D542" s="134" t="s">
        <v>119</v>
      </c>
      <c r="E542" s="32">
        <v>28272.880000000001</v>
      </c>
      <c r="F542" s="20">
        <v>21073.439999999999</v>
      </c>
      <c r="G542" s="11">
        <f t="shared" si="186"/>
        <v>0.74535880320646497</v>
      </c>
      <c r="H542" s="32">
        <f t="shared" ref="H542:H547" si="197">F542/3*4</f>
        <v>28097.919999999998</v>
      </c>
      <c r="I542" s="20">
        <v>29504.19</v>
      </c>
      <c r="J542" s="11">
        <f t="shared" si="188"/>
        <v>1.0435509222972685</v>
      </c>
      <c r="K542" s="24">
        <f t="shared" si="194"/>
        <v>28272.880000000001</v>
      </c>
      <c r="L542" s="19">
        <f t="shared" si="195"/>
        <v>28272.880000000001</v>
      </c>
      <c r="M542" s="55">
        <v>28272.880000000001</v>
      </c>
      <c r="N542" s="18"/>
      <c r="O542" s="18"/>
      <c r="P542" s="18"/>
      <c r="Q542" s="19">
        <v>0</v>
      </c>
      <c r="R542" s="18"/>
      <c r="S542" s="18"/>
      <c r="T542" s="18"/>
      <c r="U542" s="19">
        <f t="shared" si="196"/>
        <v>0</v>
      </c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</row>
    <row r="543" spans="1:32" x14ac:dyDescent="0.2">
      <c r="A543" s="4"/>
      <c r="B543" s="31"/>
      <c r="C543" s="42" t="s">
        <v>120</v>
      </c>
      <c r="D543" s="134" t="s">
        <v>121</v>
      </c>
      <c r="E543" s="32">
        <v>4029.58</v>
      </c>
      <c r="F543" s="20">
        <v>2915.28</v>
      </c>
      <c r="G543" s="11">
        <f t="shared" si="186"/>
        <v>0.72346993979521446</v>
      </c>
      <c r="H543" s="32">
        <f t="shared" si="197"/>
        <v>3887.0400000000004</v>
      </c>
      <c r="I543" s="20">
        <v>4227.21</v>
      </c>
      <c r="J543" s="11">
        <f t="shared" si="188"/>
        <v>1.049044813603403</v>
      </c>
      <c r="K543" s="24">
        <f t="shared" si="194"/>
        <v>4029.58</v>
      </c>
      <c r="L543" s="19">
        <f t="shared" si="195"/>
        <v>4029.58</v>
      </c>
      <c r="M543" s="55">
        <v>4029.58</v>
      </c>
      <c r="N543" s="18"/>
      <c r="O543" s="18"/>
      <c r="P543" s="18"/>
      <c r="Q543" s="19">
        <v>0</v>
      </c>
      <c r="R543" s="18"/>
      <c r="S543" s="18"/>
      <c r="T543" s="18"/>
      <c r="U543" s="19">
        <f t="shared" si="196"/>
        <v>0</v>
      </c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</row>
    <row r="544" spans="1:32" x14ac:dyDescent="0.2">
      <c r="A544" s="4"/>
      <c r="B544" s="31"/>
      <c r="C544" s="42" t="s">
        <v>122</v>
      </c>
      <c r="D544" s="134" t="s">
        <v>123</v>
      </c>
      <c r="E544" s="32">
        <v>12000</v>
      </c>
      <c r="F544" s="20">
        <v>4935.5200000000004</v>
      </c>
      <c r="G544" s="11">
        <f t="shared" si="186"/>
        <v>0.41129333333333334</v>
      </c>
      <c r="H544" s="32">
        <f t="shared" si="197"/>
        <v>6580.6933333333336</v>
      </c>
      <c r="I544" s="20">
        <v>12000</v>
      </c>
      <c r="J544" s="11">
        <f t="shared" si="188"/>
        <v>1</v>
      </c>
      <c r="K544" s="24">
        <f t="shared" si="194"/>
        <v>12000</v>
      </c>
      <c r="L544" s="19">
        <f t="shared" si="195"/>
        <v>12000</v>
      </c>
      <c r="M544" s="55">
        <v>12000</v>
      </c>
      <c r="N544" s="18"/>
      <c r="O544" s="18"/>
      <c r="P544" s="18"/>
      <c r="Q544" s="19"/>
      <c r="R544" s="18"/>
      <c r="S544" s="18"/>
      <c r="T544" s="18"/>
      <c r="U544" s="19">
        <f t="shared" si="196"/>
        <v>0</v>
      </c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</row>
    <row r="545" spans="1:32" x14ac:dyDescent="0.2">
      <c r="A545" s="4"/>
      <c r="B545" s="31"/>
      <c r="C545" s="42" t="s">
        <v>124</v>
      </c>
      <c r="D545" s="134" t="s">
        <v>125</v>
      </c>
      <c r="E545" s="32">
        <v>4660000</v>
      </c>
      <c r="F545" s="20">
        <v>3470634.35</v>
      </c>
      <c r="G545" s="11">
        <f t="shared" si="186"/>
        <v>0.74477131974248933</v>
      </c>
      <c r="H545" s="32">
        <v>4660000</v>
      </c>
      <c r="I545" s="20">
        <v>4738500</v>
      </c>
      <c r="J545" s="11">
        <f t="shared" si="188"/>
        <v>1.0168454935622318</v>
      </c>
      <c r="K545" s="24">
        <f t="shared" si="194"/>
        <v>4328500</v>
      </c>
      <c r="L545" s="19">
        <f t="shared" si="195"/>
        <v>4328500</v>
      </c>
      <c r="M545" s="55">
        <v>4328500</v>
      </c>
      <c r="N545" s="18"/>
      <c r="O545" s="18"/>
      <c r="P545" s="18"/>
      <c r="Q545" s="19"/>
      <c r="R545" s="18"/>
      <c r="S545" s="18"/>
      <c r="T545" s="18"/>
      <c r="U545" s="19">
        <f t="shared" si="196"/>
        <v>0</v>
      </c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</row>
    <row r="546" spans="1:32" x14ac:dyDescent="0.2">
      <c r="A546" s="4"/>
      <c r="B546" s="31"/>
      <c r="C546" s="33" t="s">
        <v>191</v>
      </c>
      <c r="D546" s="34" t="s">
        <v>192</v>
      </c>
      <c r="E546" s="32">
        <v>500</v>
      </c>
      <c r="F546" s="20">
        <v>0</v>
      </c>
      <c r="G546" s="11">
        <f t="shared" si="186"/>
        <v>0</v>
      </c>
      <c r="H546" s="32">
        <f t="shared" si="197"/>
        <v>0</v>
      </c>
      <c r="I546" s="20">
        <v>500</v>
      </c>
      <c r="J546" s="11">
        <f t="shared" si="188"/>
        <v>1</v>
      </c>
      <c r="K546" s="24">
        <f t="shared" si="194"/>
        <v>500</v>
      </c>
      <c r="L546" s="19">
        <f t="shared" si="195"/>
        <v>500</v>
      </c>
      <c r="M546" s="55">
        <v>500</v>
      </c>
      <c r="N546" s="18"/>
      <c r="O546" s="18"/>
      <c r="P546" s="18"/>
      <c r="Q546" s="19"/>
      <c r="R546" s="18"/>
      <c r="S546" s="18"/>
      <c r="T546" s="18"/>
      <c r="U546" s="19">
        <f t="shared" si="196"/>
        <v>0</v>
      </c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</row>
    <row r="547" spans="1:32" x14ac:dyDescent="0.2">
      <c r="A547" s="4"/>
      <c r="B547" s="31"/>
      <c r="C547" s="33" t="s">
        <v>126</v>
      </c>
      <c r="D547" s="134" t="s">
        <v>127</v>
      </c>
      <c r="E547" s="32">
        <v>500</v>
      </c>
      <c r="F547" s="20">
        <v>0</v>
      </c>
      <c r="G547" s="11">
        <v>0</v>
      </c>
      <c r="H547" s="32">
        <f t="shared" si="197"/>
        <v>0</v>
      </c>
      <c r="I547" s="20">
        <v>500</v>
      </c>
      <c r="J547" s="11">
        <v>0</v>
      </c>
      <c r="K547" s="24">
        <f t="shared" si="194"/>
        <v>500</v>
      </c>
      <c r="L547" s="19">
        <f t="shared" si="195"/>
        <v>500</v>
      </c>
      <c r="M547" s="55">
        <v>500</v>
      </c>
      <c r="N547" s="18"/>
      <c r="O547" s="18"/>
      <c r="P547" s="18"/>
      <c r="Q547" s="19"/>
      <c r="R547" s="18"/>
      <c r="S547" s="18"/>
      <c r="T547" s="18"/>
      <c r="U547" s="19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</row>
    <row r="548" spans="1:32" ht="22.5" x14ac:dyDescent="0.2">
      <c r="A548" s="4"/>
      <c r="B548" s="31"/>
      <c r="C548" s="42" t="s">
        <v>193</v>
      </c>
      <c r="D548" s="134" t="s">
        <v>194</v>
      </c>
      <c r="E548" s="32">
        <v>5039</v>
      </c>
      <c r="F548" s="20">
        <v>5039</v>
      </c>
      <c r="G548" s="11">
        <f t="shared" si="186"/>
        <v>1</v>
      </c>
      <c r="H548" s="32">
        <v>5039</v>
      </c>
      <c r="I548" s="20">
        <v>5039</v>
      </c>
      <c r="J548" s="11">
        <f t="shared" si="188"/>
        <v>1</v>
      </c>
      <c r="K548" s="24">
        <f t="shared" si="194"/>
        <v>5039</v>
      </c>
      <c r="L548" s="19">
        <f t="shared" si="195"/>
        <v>5039</v>
      </c>
      <c r="M548" s="55">
        <v>5039</v>
      </c>
      <c r="N548" s="18"/>
      <c r="O548" s="18"/>
      <c r="P548" s="18"/>
      <c r="Q548" s="19">
        <v>0</v>
      </c>
      <c r="R548" s="18"/>
      <c r="S548" s="18"/>
      <c r="T548" s="18"/>
      <c r="U548" s="19">
        <f t="shared" si="196"/>
        <v>0</v>
      </c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</row>
    <row r="549" spans="1:32" ht="22.5" x14ac:dyDescent="0.2">
      <c r="A549" s="4"/>
      <c r="B549" s="31"/>
      <c r="C549" s="42" t="s">
        <v>195</v>
      </c>
      <c r="D549" s="134" t="s">
        <v>196</v>
      </c>
      <c r="E549" s="32">
        <v>2000</v>
      </c>
      <c r="F549" s="20">
        <v>1906</v>
      </c>
      <c r="G549" s="11">
        <f t="shared" si="186"/>
        <v>0.95299999999999996</v>
      </c>
      <c r="H549" s="32">
        <v>2000</v>
      </c>
      <c r="I549" s="20">
        <v>2000</v>
      </c>
      <c r="J549" s="11">
        <f t="shared" si="188"/>
        <v>1</v>
      </c>
      <c r="K549" s="24">
        <f t="shared" si="194"/>
        <v>2000</v>
      </c>
      <c r="L549" s="19">
        <f t="shared" si="195"/>
        <v>2000</v>
      </c>
      <c r="M549" s="55">
        <v>2000</v>
      </c>
      <c r="N549" s="18"/>
      <c r="O549" s="18"/>
      <c r="P549" s="18"/>
      <c r="Q549" s="19"/>
      <c r="R549" s="18"/>
      <c r="S549" s="18"/>
      <c r="T549" s="18"/>
      <c r="U549" s="19">
        <f t="shared" si="196"/>
        <v>0</v>
      </c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</row>
    <row r="550" spans="1:32" ht="15.75" x14ac:dyDescent="0.2">
      <c r="A550" s="35"/>
      <c r="B550" s="173" t="s">
        <v>307</v>
      </c>
      <c r="C550" s="166"/>
      <c r="D550" s="167" t="s">
        <v>308</v>
      </c>
      <c r="E550" s="168">
        <f>E552+E551</f>
        <v>410000</v>
      </c>
      <c r="F550" s="168">
        <f>F552+F551</f>
        <v>283029.84999999998</v>
      </c>
      <c r="G550" s="170">
        <f t="shared" si="186"/>
        <v>0.69031670731707306</v>
      </c>
      <c r="H550" s="171">
        <f>H552+H551</f>
        <v>410000</v>
      </c>
      <c r="I550" s="171">
        <f>I552+I551</f>
        <v>410000</v>
      </c>
      <c r="J550" s="170">
        <f t="shared" si="188"/>
        <v>1</v>
      </c>
      <c r="K550" s="113">
        <f>K552+K551</f>
        <v>340000</v>
      </c>
      <c r="L550" s="77">
        <f>L552+L551</f>
        <v>340000</v>
      </c>
      <c r="M550" s="77">
        <f t="shared" ref="M550:AF550" si="198">M552</f>
        <v>0</v>
      </c>
      <c r="N550" s="77">
        <f>N552+N551</f>
        <v>340000</v>
      </c>
      <c r="O550" s="77"/>
      <c r="P550" s="77">
        <f t="shared" si="198"/>
        <v>0</v>
      </c>
      <c r="Q550" s="77">
        <f t="shared" si="198"/>
        <v>0</v>
      </c>
      <c r="R550" s="77">
        <f t="shared" si="198"/>
        <v>0</v>
      </c>
      <c r="S550" s="81">
        <f>S552</f>
        <v>0</v>
      </c>
      <c r="T550" s="77">
        <f t="shared" si="198"/>
        <v>0</v>
      </c>
      <c r="U550" s="77">
        <f t="shared" si="198"/>
        <v>0</v>
      </c>
      <c r="V550" s="77">
        <f t="shared" si="198"/>
        <v>0</v>
      </c>
      <c r="W550" s="77">
        <f t="shared" si="198"/>
        <v>0</v>
      </c>
      <c r="X550" s="77">
        <f t="shared" si="198"/>
        <v>0</v>
      </c>
      <c r="Y550" s="77">
        <f t="shared" si="198"/>
        <v>0</v>
      </c>
      <c r="Z550" s="77">
        <f t="shared" si="198"/>
        <v>0</v>
      </c>
      <c r="AA550" s="77">
        <f t="shared" si="198"/>
        <v>0</v>
      </c>
      <c r="AB550" s="77">
        <f t="shared" si="198"/>
        <v>0</v>
      </c>
      <c r="AC550" s="77">
        <f t="shared" si="198"/>
        <v>0</v>
      </c>
      <c r="AD550" s="77">
        <f t="shared" si="198"/>
        <v>0</v>
      </c>
      <c r="AE550" s="77">
        <f t="shared" si="198"/>
        <v>0</v>
      </c>
      <c r="AF550" s="77">
        <f t="shared" si="198"/>
        <v>0</v>
      </c>
    </row>
    <row r="551" spans="1:32" ht="15" hidden="1" x14ac:dyDescent="0.2">
      <c r="A551" s="35"/>
      <c r="B551" s="120"/>
      <c r="C551" s="68" t="s">
        <v>122</v>
      </c>
      <c r="D551" s="134" t="s">
        <v>123</v>
      </c>
      <c r="E551" s="67"/>
      <c r="F551" s="45"/>
      <c r="G551" s="14"/>
      <c r="H551" s="45"/>
      <c r="I551" s="20">
        <f>K551</f>
        <v>0</v>
      </c>
      <c r="J551" s="14"/>
      <c r="K551" s="129">
        <f>L551+T551+U551+AF551</f>
        <v>0</v>
      </c>
      <c r="L551" s="67">
        <f>SUM(M551:S551)</f>
        <v>0</v>
      </c>
      <c r="M551" s="67"/>
      <c r="N551" s="103">
        <v>0</v>
      </c>
      <c r="O551" s="69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</row>
    <row r="552" spans="1:32" x14ac:dyDescent="0.2">
      <c r="A552" s="4"/>
      <c r="B552" s="121"/>
      <c r="C552" s="42" t="s">
        <v>124</v>
      </c>
      <c r="D552" s="134" t="s">
        <v>125</v>
      </c>
      <c r="E552" s="32">
        <v>410000</v>
      </c>
      <c r="F552" s="20">
        <v>283029.84999999998</v>
      </c>
      <c r="G552" s="11">
        <f t="shared" si="186"/>
        <v>0.69031670731707306</v>
      </c>
      <c r="H552" s="20">
        <v>410000</v>
      </c>
      <c r="I552" s="20">
        <v>410000</v>
      </c>
      <c r="J552" s="11">
        <f t="shared" si="188"/>
        <v>1</v>
      </c>
      <c r="K552" s="129">
        <f>L552+T552+U552+AF552</f>
        <v>340000</v>
      </c>
      <c r="L552" s="62">
        <f>SUM(M552:S552)</f>
        <v>340000</v>
      </c>
      <c r="M552" s="63"/>
      <c r="N552" s="102">
        <v>340000</v>
      </c>
      <c r="O552" s="64"/>
      <c r="P552" s="63"/>
      <c r="Q552" s="63"/>
      <c r="R552" s="63"/>
      <c r="S552" s="63"/>
      <c r="T552" s="63"/>
      <c r="U552" s="62">
        <f>SUM(V552:AE552)</f>
        <v>0</v>
      </c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</row>
    <row r="553" spans="1:32" ht="27.75" customHeight="1" x14ac:dyDescent="0.2">
      <c r="A553" s="3"/>
      <c r="B553" s="165" t="s">
        <v>309</v>
      </c>
      <c r="C553" s="166"/>
      <c r="D553" s="167" t="s">
        <v>310</v>
      </c>
      <c r="E553" s="168">
        <f>E554+E555+E556+E557</f>
        <v>257424.41</v>
      </c>
      <c r="F553" s="171">
        <f t="shared" ref="F553:AF553" si="199">F554+F555+F556+F557</f>
        <v>108561.97</v>
      </c>
      <c r="G553" s="170">
        <f t="shared" si="186"/>
        <v>0.42172368191501342</v>
      </c>
      <c r="H553" s="171">
        <f t="shared" si="199"/>
        <v>148434.57333333333</v>
      </c>
      <c r="I553" s="171">
        <f t="shared" si="199"/>
        <v>326200</v>
      </c>
      <c r="J553" s="170">
        <f t="shared" si="188"/>
        <v>1.267168098005935</v>
      </c>
      <c r="K553" s="112">
        <f t="shared" si="199"/>
        <v>317564.41000000003</v>
      </c>
      <c r="L553" s="72">
        <f t="shared" si="199"/>
        <v>317564.41000000003</v>
      </c>
      <c r="M553" s="72">
        <f t="shared" si="199"/>
        <v>0</v>
      </c>
      <c r="N553" s="72">
        <f t="shared" si="199"/>
        <v>290000</v>
      </c>
      <c r="O553" s="72"/>
      <c r="P553" s="72">
        <f t="shared" si="199"/>
        <v>0</v>
      </c>
      <c r="Q553" s="72">
        <f t="shared" si="199"/>
        <v>0</v>
      </c>
      <c r="R553" s="72">
        <f t="shared" si="199"/>
        <v>0</v>
      </c>
      <c r="S553" s="73">
        <f>S554+S555+S556+S557</f>
        <v>27564.41</v>
      </c>
      <c r="T553" s="72">
        <f t="shared" si="199"/>
        <v>0</v>
      </c>
      <c r="U553" s="72">
        <f t="shared" si="199"/>
        <v>0</v>
      </c>
      <c r="V553" s="72">
        <f t="shared" si="199"/>
        <v>0</v>
      </c>
      <c r="W553" s="72">
        <f t="shared" si="199"/>
        <v>0</v>
      </c>
      <c r="X553" s="72">
        <f t="shared" si="199"/>
        <v>0</v>
      </c>
      <c r="Y553" s="72">
        <f t="shared" si="199"/>
        <v>0</v>
      </c>
      <c r="Z553" s="72">
        <f t="shared" si="199"/>
        <v>0</v>
      </c>
      <c r="AA553" s="72">
        <f t="shared" si="199"/>
        <v>0</v>
      </c>
      <c r="AB553" s="72">
        <f t="shared" si="199"/>
        <v>0</v>
      </c>
      <c r="AC553" s="72">
        <f t="shared" si="199"/>
        <v>0</v>
      </c>
      <c r="AD553" s="72">
        <f t="shared" si="199"/>
        <v>0</v>
      </c>
      <c r="AE553" s="72">
        <f t="shared" si="199"/>
        <v>0</v>
      </c>
      <c r="AF553" s="72">
        <f t="shared" si="199"/>
        <v>0</v>
      </c>
    </row>
    <row r="554" spans="1:32" x14ac:dyDescent="0.2">
      <c r="A554" s="4"/>
      <c r="B554" s="31"/>
      <c r="C554" s="42" t="s">
        <v>128</v>
      </c>
      <c r="D554" s="134" t="s">
        <v>129</v>
      </c>
      <c r="E554" s="32">
        <v>2500</v>
      </c>
      <c r="F554" s="20">
        <v>2406.75</v>
      </c>
      <c r="G554" s="11">
        <f t="shared" si="186"/>
        <v>0.9627</v>
      </c>
      <c r="H554" s="20">
        <v>2500</v>
      </c>
      <c r="I554" s="20">
        <v>2500</v>
      </c>
      <c r="J554" s="11">
        <f t="shared" si="188"/>
        <v>1</v>
      </c>
      <c r="K554" s="24">
        <f>L554+T554+U554+AF554</f>
        <v>2500</v>
      </c>
      <c r="L554" s="19">
        <f>SUM(M554:S554)</f>
        <v>2500</v>
      </c>
      <c r="M554" s="19"/>
      <c r="N554" s="18"/>
      <c r="O554" s="18"/>
      <c r="P554" s="18"/>
      <c r="Q554" s="18"/>
      <c r="R554" s="18"/>
      <c r="S554" s="55">
        <v>2500</v>
      </c>
      <c r="T554" s="18"/>
      <c r="U554" s="19">
        <f>SUM(V554:AE554)</f>
        <v>0</v>
      </c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</row>
    <row r="555" spans="1:32" x14ac:dyDescent="0.2">
      <c r="A555" s="4"/>
      <c r="B555" s="31"/>
      <c r="C555" s="42" t="s">
        <v>122</v>
      </c>
      <c r="D555" s="134" t="s">
        <v>123</v>
      </c>
      <c r="E555" s="32">
        <v>67794.41</v>
      </c>
      <c r="F555" s="20">
        <v>13503.01</v>
      </c>
      <c r="G555" s="11">
        <f t="shared" si="186"/>
        <v>0.19917586125463735</v>
      </c>
      <c r="H555" s="20">
        <f t="shared" ref="H555:H557" si="200">F555/3*4</f>
        <v>18004.013333333332</v>
      </c>
      <c r="I555" s="20">
        <v>65500</v>
      </c>
      <c r="J555" s="11">
        <f t="shared" si="188"/>
        <v>0.9661563541890843</v>
      </c>
      <c r="K555" s="24">
        <f t="shared" ref="K555:K557" si="201">L555+T555+U555+AF555</f>
        <v>79864.41</v>
      </c>
      <c r="L555" s="19">
        <f>SUM(M555:S555)</f>
        <v>79864.41</v>
      </c>
      <c r="M555" s="19">
        <v>0</v>
      </c>
      <c r="N555" s="55">
        <v>65000</v>
      </c>
      <c r="O555" s="55"/>
      <c r="P555" s="18"/>
      <c r="Q555" s="18"/>
      <c r="R555" s="18"/>
      <c r="S555" s="55">
        <v>14864.41</v>
      </c>
      <c r="T555" s="18"/>
      <c r="U555" s="19">
        <f>SUM(V555:AE555)</f>
        <v>0</v>
      </c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</row>
    <row r="556" spans="1:32" x14ac:dyDescent="0.2">
      <c r="A556" s="4"/>
      <c r="B556" s="31"/>
      <c r="C556" s="42" t="s">
        <v>130</v>
      </c>
      <c r="D556" s="134" t="s">
        <v>131</v>
      </c>
      <c r="E556" s="32">
        <v>5000</v>
      </c>
      <c r="F556" s="20">
        <v>79.290000000000006</v>
      </c>
      <c r="G556" s="11">
        <f t="shared" si="186"/>
        <v>1.5858000000000001E-2</v>
      </c>
      <c r="H556" s="20">
        <v>4500</v>
      </c>
      <c r="I556" s="20">
        <v>5000</v>
      </c>
      <c r="J556" s="11">
        <f t="shared" si="188"/>
        <v>1</v>
      </c>
      <c r="K556" s="24">
        <f t="shared" si="201"/>
        <v>5000</v>
      </c>
      <c r="L556" s="19">
        <f>SUM(M556:S556)</f>
        <v>5000</v>
      </c>
      <c r="M556" s="19"/>
      <c r="N556" s="55">
        <v>5000</v>
      </c>
      <c r="O556" s="55"/>
      <c r="P556" s="18"/>
      <c r="Q556" s="18"/>
      <c r="R556" s="18"/>
      <c r="S556" s="19"/>
      <c r="T556" s="18"/>
      <c r="U556" s="19">
        <f>SUM(V556:AE556)</f>
        <v>0</v>
      </c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</row>
    <row r="557" spans="1:32" x14ac:dyDescent="0.2">
      <c r="A557" s="4"/>
      <c r="B557" s="31"/>
      <c r="C557" s="42" t="s">
        <v>124</v>
      </c>
      <c r="D557" s="134" t="s">
        <v>125</v>
      </c>
      <c r="E557" s="32">
        <v>182130</v>
      </c>
      <c r="F557" s="20">
        <v>92572.92</v>
      </c>
      <c r="G557" s="11">
        <f t="shared" si="186"/>
        <v>0.50827936089606329</v>
      </c>
      <c r="H557" s="20">
        <f t="shared" si="200"/>
        <v>123430.56</v>
      </c>
      <c r="I557" s="20">
        <v>253200</v>
      </c>
      <c r="J557" s="11">
        <f t="shared" si="188"/>
        <v>1.3902157799374073</v>
      </c>
      <c r="K557" s="24">
        <f t="shared" si="201"/>
        <v>230200</v>
      </c>
      <c r="L557" s="19">
        <f>SUM(M557:S557)</f>
        <v>230200</v>
      </c>
      <c r="M557" s="19">
        <v>0</v>
      </c>
      <c r="N557" s="101">
        <v>220000</v>
      </c>
      <c r="O557" s="55"/>
      <c r="P557" s="18"/>
      <c r="Q557" s="18"/>
      <c r="R557" s="18"/>
      <c r="S557" s="55">
        <v>10200</v>
      </c>
      <c r="T557" s="18"/>
      <c r="U557" s="19">
        <f>SUM(V557:AE557)</f>
        <v>0</v>
      </c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</row>
    <row r="558" spans="1:32" ht="22.5" x14ac:dyDescent="0.2">
      <c r="A558" s="3"/>
      <c r="B558" s="165" t="s">
        <v>311</v>
      </c>
      <c r="C558" s="166"/>
      <c r="D558" s="167" t="s">
        <v>312</v>
      </c>
      <c r="E558" s="168">
        <f>SUM(E559:E560)</f>
        <v>100000</v>
      </c>
      <c r="F558" s="168">
        <f>SUM(F559:F560)</f>
        <v>49544.29</v>
      </c>
      <c r="G558" s="170">
        <f t="shared" si="186"/>
        <v>0.49544290000000002</v>
      </c>
      <c r="H558" s="168">
        <f t="shared" ref="H558:I558" si="202">SUM(H559:H560)</f>
        <v>66059.05333333333</v>
      </c>
      <c r="I558" s="168">
        <f t="shared" si="202"/>
        <v>100000</v>
      </c>
      <c r="J558" s="170">
        <f t="shared" si="188"/>
        <v>1</v>
      </c>
      <c r="K558" s="112">
        <f>K560+K559</f>
        <v>100000</v>
      </c>
      <c r="L558" s="77">
        <f>L560+L559</f>
        <v>100000</v>
      </c>
      <c r="M558" s="77">
        <f>M560+M559</f>
        <v>100000</v>
      </c>
      <c r="N558" s="77">
        <f t="shared" ref="N558:AF558" si="203">N560</f>
        <v>0</v>
      </c>
      <c r="O558" s="77"/>
      <c r="P558" s="77">
        <f t="shared" si="203"/>
        <v>0</v>
      </c>
      <c r="Q558" s="77">
        <f t="shared" si="203"/>
        <v>0</v>
      </c>
      <c r="R558" s="77">
        <f t="shared" si="203"/>
        <v>0</v>
      </c>
      <c r="S558" s="81">
        <f>S560</f>
        <v>0</v>
      </c>
      <c r="T558" s="77">
        <f t="shared" si="203"/>
        <v>0</v>
      </c>
      <c r="U558" s="77">
        <f t="shared" si="203"/>
        <v>0</v>
      </c>
      <c r="V558" s="77">
        <f t="shared" si="203"/>
        <v>0</v>
      </c>
      <c r="W558" s="77">
        <f t="shared" si="203"/>
        <v>0</v>
      </c>
      <c r="X558" s="77">
        <f t="shared" si="203"/>
        <v>0</v>
      </c>
      <c r="Y558" s="77">
        <f t="shared" si="203"/>
        <v>0</v>
      </c>
      <c r="Z558" s="77">
        <f t="shared" si="203"/>
        <v>0</v>
      </c>
      <c r="AA558" s="77">
        <f t="shared" si="203"/>
        <v>0</v>
      </c>
      <c r="AB558" s="77">
        <f t="shared" si="203"/>
        <v>0</v>
      </c>
      <c r="AC558" s="77">
        <f t="shared" si="203"/>
        <v>0</v>
      </c>
      <c r="AD558" s="77">
        <f t="shared" si="203"/>
        <v>0</v>
      </c>
      <c r="AE558" s="77">
        <f t="shared" si="203"/>
        <v>0</v>
      </c>
      <c r="AF558" s="77">
        <f t="shared" si="203"/>
        <v>0</v>
      </c>
    </row>
    <row r="559" spans="1:32" ht="15" x14ac:dyDescent="0.2">
      <c r="A559" s="3"/>
      <c r="B559" s="119"/>
      <c r="C559" s="68" t="s">
        <v>124</v>
      </c>
      <c r="D559" s="134" t="s">
        <v>125</v>
      </c>
      <c r="E559" s="67">
        <v>10000</v>
      </c>
      <c r="F559" s="45">
        <v>0</v>
      </c>
      <c r="G559" s="14">
        <v>0</v>
      </c>
      <c r="H559" s="45">
        <f>F559/3*4</f>
        <v>0</v>
      </c>
      <c r="I559" s="20">
        <v>10000</v>
      </c>
      <c r="J559" s="11">
        <f t="shared" si="188"/>
        <v>1</v>
      </c>
      <c r="K559" s="54">
        <f>L559+T559+U559+AF559</f>
        <v>10000</v>
      </c>
      <c r="L559" s="67">
        <f>SUM(M559:S559)</f>
        <v>10000</v>
      </c>
      <c r="M559" s="69">
        <v>10000</v>
      </c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</row>
    <row r="560" spans="1:32" ht="67.5" x14ac:dyDescent="0.2">
      <c r="A560" s="4"/>
      <c r="B560" s="31"/>
      <c r="C560" s="42" t="s">
        <v>210</v>
      </c>
      <c r="D560" s="134" t="s">
        <v>211</v>
      </c>
      <c r="E560" s="32">
        <v>90000</v>
      </c>
      <c r="F560" s="20">
        <v>49544.29</v>
      </c>
      <c r="G560" s="11">
        <f t="shared" si="186"/>
        <v>0.55049211111111107</v>
      </c>
      <c r="H560" s="45">
        <f>F560/3*4</f>
        <v>66059.05333333333</v>
      </c>
      <c r="I560" s="20">
        <v>90000</v>
      </c>
      <c r="J560" s="11">
        <f t="shared" si="188"/>
        <v>1</v>
      </c>
      <c r="K560" s="105">
        <f>L560+T560+U560+AF560</f>
        <v>90000</v>
      </c>
      <c r="L560" s="19">
        <f>SUM(M560:S560)</f>
        <v>90000</v>
      </c>
      <c r="M560" s="55">
        <v>90000</v>
      </c>
      <c r="N560" s="19"/>
      <c r="O560" s="19"/>
      <c r="P560" s="19"/>
      <c r="Q560" s="19"/>
      <c r="R560" s="19"/>
      <c r="S560" s="19"/>
      <c r="T560" s="19"/>
      <c r="U560" s="19">
        <f>SUM(V560:AE560)</f>
        <v>0</v>
      </c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</row>
    <row r="561" spans="1:32" ht="15.75" x14ac:dyDescent="0.2">
      <c r="A561" s="3"/>
      <c r="B561" s="165" t="s">
        <v>313</v>
      </c>
      <c r="C561" s="166"/>
      <c r="D561" s="167" t="s">
        <v>314</v>
      </c>
      <c r="E561" s="168">
        <f>E562+E563+E564+E565+E566+E567+E568</f>
        <v>127695.5</v>
      </c>
      <c r="F561" s="171">
        <f t="shared" ref="F561:AF561" si="204">F562+F563+F564+F565+F566+F567+F568</f>
        <v>115900.8</v>
      </c>
      <c r="G561" s="170">
        <f t="shared" si="186"/>
        <v>0.90763417661546419</v>
      </c>
      <c r="H561" s="171">
        <f t="shared" si="204"/>
        <v>125602.23333333334</v>
      </c>
      <c r="I561" s="171">
        <f t="shared" si="204"/>
        <v>127695.5</v>
      </c>
      <c r="J561" s="170">
        <f t="shared" si="188"/>
        <v>1</v>
      </c>
      <c r="K561" s="130">
        <f t="shared" si="204"/>
        <v>127695.5</v>
      </c>
      <c r="L561" s="72">
        <f t="shared" si="204"/>
        <v>127695.5</v>
      </c>
      <c r="M561" s="72">
        <f t="shared" si="204"/>
        <v>127695.5</v>
      </c>
      <c r="N561" s="72">
        <f t="shared" si="204"/>
        <v>0</v>
      </c>
      <c r="O561" s="72"/>
      <c r="P561" s="72">
        <f t="shared" si="204"/>
        <v>0</v>
      </c>
      <c r="Q561" s="72">
        <f t="shared" si="204"/>
        <v>0</v>
      </c>
      <c r="R561" s="72">
        <f t="shared" si="204"/>
        <v>0</v>
      </c>
      <c r="S561" s="73">
        <f>S562+S563+S564+S565+S566+S567+S568</f>
        <v>0</v>
      </c>
      <c r="T561" s="72">
        <f t="shared" si="204"/>
        <v>0</v>
      </c>
      <c r="U561" s="72">
        <f t="shared" si="204"/>
        <v>0</v>
      </c>
      <c r="V561" s="72">
        <f t="shared" si="204"/>
        <v>0</v>
      </c>
      <c r="W561" s="72">
        <f t="shared" si="204"/>
        <v>0</v>
      </c>
      <c r="X561" s="72">
        <f t="shared" si="204"/>
        <v>0</v>
      </c>
      <c r="Y561" s="72">
        <f t="shared" si="204"/>
        <v>0</v>
      </c>
      <c r="Z561" s="72">
        <f t="shared" si="204"/>
        <v>0</v>
      </c>
      <c r="AA561" s="72">
        <f t="shared" si="204"/>
        <v>0</v>
      </c>
      <c r="AB561" s="72">
        <f t="shared" si="204"/>
        <v>0</v>
      </c>
      <c r="AC561" s="72">
        <f t="shared" si="204"/>
        <v>0</v>
      </c>
      <c r="AD561" s="72">
        <f t="shared" si="204"/>
        <v>0</v>
      </c>
      <c r="AE561" s="72">
        <f t="shared" si="204"/>
        <v>0</v>
      </c>
      <c r="AF561" s="72">
        <f t="shared" si="204"/>
        <v>0</v>
      </c>
    </row>
    <row r="562" spans="1:32" ht="45" x14ac:dyDescent="0.2">
      <c r="A562" s="4"/>
      <c r="B562" s="31"/>
      <c r="C562" s="42" t="s">
        <v>52</v>
      </c>
      <c r="D562" s="134" t="s">
        <v>134</v>
      </c>
      <c r="E562" s="32">
        <v>120000</v>
      </c>
      <c r="F562" s="20">
        <v>111400</v>
      </c>
      <c r="G562" s="11">
        <f t="shared" si="186"/>
        <v>0.92833333333333334</v>
      </c>
      <c r="H562" s="20">
        <v>120000</v>
      </c>
      <c r="I562" s="20">
        <v>120000</v>
      </c>
      <c r="J562" s="11">
        <f t="shared" si="188"/>
        <v>1</v>
      </c>
      <c r="K562" s="24">
        <f>L562+T562+U562+AF562</f>
        <v>120000</v>
      </c>
      <c r="L562" s="19">
        <f>SUM(M562:S562)</f>
        <v>120000</v>
      </c>
      <c r="M562" s="55">
        <v>120000</v>
      </c>
      <c r="N562" s="19"/>
      <c r="O562" s="19"/>
      <c r="P562" s="19"/>
      <c r="Q562" s="19"/>
      <c r="R562" s="19"/>
      <c r="S562" s="19"/>
      <c r="T562" s="19"/>
      <c r="U562" s="19">
        <f>SUM(V562:AE562)</f>
        <v>0</v>
      </c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</row>
    <row r="563" spans="1:32" x14ac:dyDescent="0.2">
      <c r="A563" s="4"/>
      <c r="B563" s="31"/>
      <c r="C563" s="42" t="s">
        <v>118</v>
      </c>
      <c r="D563" s="134" t="s">
        <v>119</v>
      </c>
      <c r="E563" s="32">
        <v>171</v>
      </c>
      <c r="F563" s="20">
        <v>171</v>
      </c>
      <c r="G563" s="11">
        <f t="shared" si="186"/>
        <v>1</v>
      </c>
      <c r="H563" s="20">
        <v>171</v>
      </c>
      <c r="I563" s="20">
        <v>171</v>
      </c>
      <c r="J563" s="11">
        <f t="shared" si="188"/>
        <v>1</v>
      </c>
      <c r="K563" s="24">
        <f t="shared" ref="K563:K568" si="205">L563+T563+U563+AF563</f>
        <v>171</v>
      </c>
      <c r="L563" s="19">
        <f t="shared" ref="L563:L568" si="206">SUM(M563:S563)</f>
        <v>171</v>
      </c>
      <c r="M563" s="55">
        <v>171</v>
      </c>
      <c r="N563" s="19"/>
      <c r="O563" s="19"/>
      <c r="P563" s="19"/>
      <c r="Q563" s="19"/>
      <c r="R563" s="19"/>
      <c r="S563" s="19"/>
      <c r="T563" s="19"/>
      <c r="U563" s="19">
        <f t="shared" ref="U563:U568" si="207">SUM(V563:AE563)</f>
        <v>0</v>
      </c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</row>
    <row r="564" spans="1:32" x14ac:dyDescent="0.2">
      <c r="A564" s="4"/>
      <c r="B564" s="31"/>
      <c r="C564" s="42" t="s">
        <v>120</v>
      </c>
      <c r="D564" s="134" t="s">
        <v>121</v>
      </c>
      <c r="E564" s="32">
        <v>24.5</v>
      </c>
      <c r="F564" s="20">
        <v>0</v>
      </c>
      <c r="G564" s="11">
        <f t="shared" si="186"/>
        <v>0</v>
      </c>
      <c r="H564" s="20">
        <v>24.5</v>
      </c>
      <c r="I564" s="20">
        <v>24.5</v>
      </c>
      <c r="J564" s="11">
        <f t="shared" si="188"/>
        <v>1</v>
      </c>
      <c r="K564" s="24">
        <f t="shared" si="205"/>
        <v>24.5</v>
      </c>
      <c r="L564" s="19">
        <f t="shared" si="206"/>
        <v>24.5</v>
      </c>
      <c r="M564" s="55">
        <v>24.5</v>
      </c>
      <c r="N564" s="19"/>
      <c r="O564" s="19"/>
      <c r="P564" s="19"/>
      <c r="Q564" s="19"/>
      <c r="R564" s="19"/>
      <c r="S564" s="19"/>
      <c r="T564" s="19"/>
      <c r="U564" s="19">
        <f t="shared" si="207"/>
        <v>0</v>
      </c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</row>
    <row r="565" spans="1:32" x14ac:dyDescent="0.2">
      <c r="A565" s="4"/>
      <c r="B565" s="31"/>
      <c r="C565" s="42" t="s">
        <v>128</v>
      </c>
      <c r="D565" s="134" t="s">
        <v>129</v>
      </c>
      <c r="E565" s="32">
        <v>1000</v>
      </c>
      <c r="F565" s="20">
        <v>1000</v>
      </c>
      <c r="G565" s="11">
        <f t="shared" si="186"/>
        <v>1</v>
      </c>
      <c r="H565" s="20">
        <v>1000</v>
      </c>
      <c r="I565" s="20">
        <v>1000</v>
      </c>
      <c r="J565" s="11">
        <f t="shared" si="188"/>
        <v>1</v>
      </c>
      <c r="K565" s="24">
        <f t="shared" si="205"/>
        <v>1000</v>
      </c>
      <c r="L565" s="19">
        <f t="shared" si="206"/>
        <v>1000</v>
      </c>
      <c r="M565" s="55">
        <v>1000</v>
      </c>
      <c r="N565" s="19"/>
      <c r="O565" s="19"/>
      <c r="P565" s="19"/>
      <c r="Q565" s="19"/>
      <c r="R565" s="19"/>
      <c r="S565" s="19"/>
      <c r="T565" s="19"/>
      <c r="U565" s="19">
        <f t="shared" si="207"/>
        <v>0</v>
      </c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</row>
    <row r="566" spans="1:32" x14ac:dyDescent="0.2">
      <c r="A566" s="4"/>
      <c r="B566" s="31"/>
      <c r="C566" s="42" t="s">
        <v>122</v>
      </c>
      <c r="D566" s="134" t="s">
        <v>123</v>
      </c>
      <c r="E566" s="32">
        <v>1500</v>
      </c>
      <c r="F566" s="20">
        <v>249.75</v>
      </c>
      <c r="G566" s="11">
        <f t="shared" si="186"/>
        <v>0.16650000000000001</v>
      </c>
      <c r="H566" s="20">
        <v>300</v>
      </c>
      <c r="I566" s="20">
        <v>1500</v>
      </c>
      <c r="J566" s="11">
        <f t="shared" si="188"/>
        <v>1</v>
      </c>
      <c r="K566" s="24">
        <f t="shared" si="205"/>
        <v>1500</v>
      </c>
      <c r="L566" s="19">
        <f t="shared" si="206"/>
        <v>1500</v>
      </c>
      <c r="M566" s="55">
        <v>1500</v>
      </c>
      <c r="N566" s="19"/>
      <c r="O566" s="19"/>
      <c r="P566" s="19"/>
      <c r="Q566" s="19"/>
      <c r="R566" s="19"/>
      <c r="S566" s="19"/>
      <c r="T566" s="19"/>
      <c r="U566" s="19">
        <f t="shared" si="207"/>
        <v>0</v>
      </c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</row>
    <row r="567" spans="1:32" x14ac:dyDescent="0.2">
      <c r="A567" s="4"/>
      <c r="B567" s="31"/>
      <c r="C567" s="42" t="s">
        <v>124</v>
      </c>
      <c r="D567" s="134" t="s">
        <v>125</v>
      </c>
      <c r="E567" s="32">
        <v>5000</v>
      </c>
      <c r="F567" s="20">
        <v>3080.05</v>
      </c>
      <c r="G567" s="11">
        <f t="shared" si="186"/>
        <v>0.61601000000000006</v>
      </c>
      <c r="H567" s="20">
        <f t="shared" ref="H567" si="208">F567/3*4</f>
        <v>4106.7333333333336</v>
      </c>
      <c r="I567" s="20">
        <v>5000</v>
      </c>
      <c r="J567" s="11">
        <f t="shared" si="188"/>
        <v>1</v>
      </c>
      <c r="K567" s="24">
        <f t="shared" si="205"/>
        <v>5000</v>
      </c>
      <c r="L567" s="19">
        <f t="shared" si="206"/>
        <v>5000</v>
      </c>
      <c r="M567" s="55">
        <v>5000</v>
      </c>
      <c r="N567" s="19"/>
      <c r="O567" s="19"/>
      <c r="P567" s="19"/>
      <c r="Q567" s="19"/>
      <c r="R567" s="19"/>
      <c r="S567" s="19"/>
      <c r="T567" s="19"/>
      <c r="U567" s="19">
        <f t="shared" si="207"/>
        <v>0</v>
      </c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</row>
    <row r="568" spans="1:32" ht="71.25" hidden="1" customHeight="1" x14ac:dyDescent="0.2">
      <c r="A568" s="4"/>
      <c r="B568" s="31"/>
      <c r="C568" s="42" t="s">
        <v>8</v>
      </c>
      <c r="D568" s="134" t="s">
        <v>139</v>
      </c>
      <c r="E568" s="32">
        <v>0</v>
      </c>
      <c r="F568" s="20">
        <v>0</v>
      </c>
      <c r="G568" s="11">
        <v>0</v>
      </c>
      <c r="H568" s="20">
        <v>0</v>
      </c>
      <c r="I568" s="20">
        <f t="shared" ref="I568" si="209">K568</f>
        <v>0</v>
      </c>
      <c r="J568" s="11">
        <v>0</v>
      </c>
      <c r="K568" s="104">
        <f t="shared" si="205"/>
        <v>0</v>
      </c>
      <c r="L568" s="19">
        <f t="shared" si="206"/>
        <v>0</v>
      </c>
      <c r="M568" s="19"/>
      <c r="N568" s="19"/>
      <c r="O568" s="19"/>
      <c r="P568" s="19"/>
      <c r="Q568" s="19"/>
      <c r="R568" s="19"/>
      <c r="S568" s="19"/>
      <c r="T568" s="19"/>
      <c r="U568" s="19">
        <f t="shared" si="207"/>
        <v>0</v>
      </c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</row>
    <row r="569" spans="1:32" ht="15.75" x14ac:dyDescent="0.2">
      <c r="A569" s="3"/>
      <c r="B569" s="165" t="s">
        <v>315</v>
      </c>
      <c r="C569" s="166"/>
      <c r="D569" s="167" t="s">
        <v>316</v>
      </c>
      <c r="E569" s="171">
        <f t="shared" ref="E569:F569" si="210">E571+E572+E573+E570</f>
        <v>1408161.8900000001</v>
      </c>
      <c r="F569" s="171">
        <f t="shared" si="210"/>
        <v>769450.62</v>
      </c>
      <c r="G569" s="170">
        <f t="shared" si="186"/>
        <v>0.54642198845475065</v>
      </c>
      <c r="H569" s="171">
        <f>H571+H572+H573+H570</f>
        <v>1322398.8533333333</v>
      </c>
      <c r="I569" s="171">
        <f>I571+I572+I573+I570</f>
        <v>1646222.06</v>
      </c>
      <c r="J569" s="170">
        <f t="shared" si="188"/>
        <v>1.1690573872866279</v>
      </c>
      <c r="K569" s="112">
        <f>K571+K572+K573+K570</f>
        <v>1350800</v>
      </c>
      <c r="L569" s="77">
        <f>L571+L572+L573+L570</f>
        <v>1350800</v>
      </c>
      <c r="M569" s="72">
        <f t="shared" ref="M569:AF569" si="211">M571+M572+M573</f>
        <v>0</v>
      </c>
      <c r="N569" s="72">
        <f t="shared" si="211"/>
        <v>1335000</v>
      </c>
      <c r="O569" s="72"/>
      <c r="P569" s="72">
        <f t="shared" si="211"/>
        <v>0</v>
      </c>
      <c r="Q569" s="72">
        <f t="shared" si="211"/>
        <v>0</v>
      </c>
      <c r="R569" s="72">
        <f t="shared" si="211"/>
        <v>0</v>
      </c>
      <c r="S569" s="73">
        <f>S571+S572+S573+S570</f>
        <v>15800</v>
      </c>
      <c r="T569" s="72">
        <f t="shared" si="211"/>
        <v>0</v>
      </c>
      <c r="U569" s="72">
        <f t="shared" si="211"/>
        <v>0</v>
      </c>
      <c r="V569" s="72">
        <f t="shared" si="211"/>
        <v>0</v>
      </c>
      <c r="W569" s="72">
        <f t="shared" si="211"/>
        <v>0</v>
      </c>
      <c r="X569" s="72">
        <f t="shared" si="211"/>
        <v>0</v>
      </c>
      <c r="Y569" s="72">
        <f t="shared" si="211"/>
        <v>0</v>
      </c>
      <c r="Z569" s="72">
        <f t="shared" si="211"/>
        <v>0</v>
      </c>
      <c r="AA569" s="72">
        <f t="shared" si="211"/>
        <v>0</v>
      </c>
      <c r="AB569" s="72">
        <f t="shared" si="211"/>
        <v>0</v>
      </c>
      <c r="AC569" s="72">
        <f t="shared" si="211"/>
        <v>0</v>
      </c>
      <c r="AD569" s="72">
        <f t="shared" si="211"/>
        <v>0</v>
      </c>
      <c r="AE569" s="72">
        <f t="shared" si="211"/>
        <v>0</v>
      </c>
      <c r="AF569" s="72">
        <f t="shared" si="211"/>
        <v>0</v>
      </c>
    </row>
    <row r="570" spans="1:32" ht="15" x14ac:dyDescent="0.2">
      <c r="A570" s="3"/>
      <c r="B570" s="119"/>
      <c r="C570" s="137" t="s">
        <v>122</v>
      </c>
      <c r="D570" s="134" t="s">
        <v>123</v>
      </c>
      <c r="E570" s="67">
        <v>6800</v>
      </c>
      <c r="F570" s="45">
        <v>1799.14</v>
      </c>
      <c r="G570" s="14">
        <v>0</v>
      </c>
      <c r="H570" s="45">
        <f>F570/3*4</f>
        <v>2398.8533333333335</v>
      </c>
      <c r="I570" s="20">
        <v>16222.06</v>
      </c>
      <c r="J570" s="11">
        <v>0</v>
      </c>
      <c r="K570" s="54">
        <f>L570+T570+U570+AF570</f>
        <v>6800</v>
      </c>
      <c r="L570" s="67">
        <f>SUM(M570:S570)</f>
        <v>6800</v>
      </c>
      <c r="M570" s="70"/>
      <c r="N570" s="70"/>
      <c r="O570" s="70"/>
      <c r="P570" s="70"/>
      <c r="Q570" s="70"/>
      <c r="R570" s="70"/>
      <c r="S570" s="71">
        <v>6800</v>
      </c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</row>
    <row r="571" spans="1:32" x14ac:dyDescent="0.2">
      <c r="A571" s="4"/>
      <c r="B571" s="31"/>
      <c r="C571" s="42" t="s">
        <v>130</v>
      </c>
      <c r="D571" s="134" t="s">
        <v>131</v>
      </c>
      <c r="E571" s="32">
        <v>650000</v>
      </c>
      <c r="F571" s="20">
        <v>422685.68</v>
      </c>
      <c r="G571" s="11">
        <f t="shared" si="186"/>
        <v>0.65028566153846157</v>
      </c>
      <c r="H571" s="45">
        <v>650000</v>
      </c>
      <c r="I571" s="20">
        <v>650000</v>
      </c>
      <c r="J571" s="11">
        <f t="shared" si="188"/>
        <v>1</v>
      </c>
      <c r="K571" s="54">
        <f t="shared" ref="K571:K573" si="212">L571+T571+U571+AF571</f>
        <v>650000</v>
      </c>
      <c r="L571" s="19">
        <f>SUM(M571:S571)</f>
        <v>650000</v>
      </c>
      <c r="M571" s="19"/>
      <c r="N571" s="55">
        <v>650000</v>
      </c>
      <c r="O571" s="55"/>
      <c r="P571" s="19"/>
      <c r="Q571" s="19"/>
      <c r="R571" s="19"/>
      <c r="S571" s="19"/>
      <c r="T571" s="19"/>
      <c r="U571" s="19">
        <f>SUM(V571:AE571)</f>
        <v>0</v>
      </c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</row>
    <row r="572" spans="1:32" x14ac:dyDescent="0.2">
      <c r="A572" s="4"/>
      <c r="B572" s="31"/>
      <c r="C572" s="42" t="s">
        <v>124</v>
      </c>
      <c r="D572" s="134" t="s">
        <v>125</v>
      </c>
      <c r="E572" s="32">
        <v>385000</v>
      </c>
      <c r="F572" s="20">
        <v>344965.8</v>
      </c>
      <c r="G572" s="11">
        <f t="shared" si="186"/>
        <v>0.89601506493506489</v>
      </c>
      <c r="H572" s="45">
        <v>370000</v>
      </c>
      <c r="I572" s="20">
        <v>480000</v>
      </c>
      <c r="J572" s="11">
        <f t="shared" si="188"/>
        <v>1.2467532467532467</v>
      </c>
      <c r="K572" s="54">
        <f t="shared" si="212"/>
        <v>394000</v>
      </c>
      <c r="L572" s="19">
        <f>SUM(M572:S572)</f>
        <v>394000</v>
      </c>
      <c r="M572" s="19"/>
      <c r="N572" s="101">
        <v>385000</v>
      </c>
      <c r="O572" s="55"/>
      <c r="P572" s="19"/>
      <c r="Q572" s="19"/>
      <c r="R572" s="19"/>
      <c r="S572" s="55">
        <v>9000</v>
      </c>
      <c r="T572" s="19"/>
      <c r="U572" s="19">
        <f>SUM(V572:AE572)</f>
        <v>0</v>
      </c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</row>
    <row r="573" spans="1:32" ht="22.5" x14ac:dyDescent="0.2">
      <c r="A573" s="4"/>
      <c r="B573" s="31"/>
      <c r="C573" s="42" t="s">
        <v>142</v>
      </c>
      <c r="D573" s="134" t="s">
        <v>143</v>
      </c>
      <c r="E573" s="32">
        <v>366361.89</v>
      </c>
      <c r="F573" s="20">
        <v>0</v>
      </c>
      <c r="G573" s="11">
        <f t="shared" si="186"/>
        <v>0</v>
      </c>
      <c r="H573" s="45">
        <v>300000</v>
      </c>
      <c r="I573" s="20">
        <v>500000</v>
      </c>
      <c r="J573" s="11">
        <f t="shared" si="188"/>
        <v>1.3647707735103123</v>
      </c>
      <c r="K573" s="54">
        <f t="shared" si="212"/>
        <v>300000</v>
      </c>
      <c r="L573" s="19">
        <f>SUM(M573:S573)</f>
        <v>300000</v>
      </c>
      <c r="M573" s="19"/>
      <c r="N573" s="101">
        <v>300000</v>
      </c>
      <c r="O573" s="55"/>
      <c r="P573" s="19"/>
      <c r="Q573" s="19"/>
      <c r="R573" s="19"/>
      <c r="S573" s="19"/>
      <c r="T573" s="19"/>
      <c r="U573" s="19">
        <f>SUM(V573:AE573)</f>
        <v>0</v>
      </c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</row>
    <row r="574" spans="1:32" ht="22.5" x14ac:dyDescent="0.2">
      <c r="A574" s="31"/>
      <c r="B574" s="172" t="s">
        <v>353</v>
      </c>
      <c r="C574" s="173"/>
      <c r="D574" s="167" t="s">
        <v>354</v>
      </c>
      <c r="E574" s="171">
        <f t="shared" ref="E574:F574" si="213">E575+E576+E577+E578</f>
        <v>142000</v>
      </c>
      <c r="F574" s="171">
        <f t="shared" si="213"/>
        <v>40220.82</v>
      </c>
      <c r="G574" s="171">
        <f>G575+G576+G577</f>
        <v>0</v>
      </c>
      <c r="H574" s="171">
        <f>H575+H576+H577+H578</f>
        <v>48000</v>
      </c>
      <c r="I574" s="171">
        <f>I575+I576+I577+I578</f>
        <v>125000</v>
      </c>
      <c r="J574" s="168">
        <f>J575+J576+J577</f>
        <v>0</v>
      </c>
      <c r="K574" s="82">
        <f>K575+K576+K577+K578</f>
        <v>87000</v>
      </c>
      <c r="L574" s="78">
        <f>L575+L576+L577+L578</f>
        <v>87000</v>
      </c>
      <c r="M574" s="78">
        <f>M575+M576+M577+M578</f>
        <v>85000</v>
      </c>
      <c r="N574" s="78">
        <f t="shared" ref="N574:AF574" si="214">N575+N576+N577</f>
        <v>0</v>
      </c>
      <c r="O574" s="78">
        <f>O575+O576+O577+O578</f>
        <v>0</v>
      </c>
      <c r="P574" s="78">
        <f t="shared" si="214"/>
        <v>0</v>
      </c>
      <c r="Q574" s="78">
        <f t="shared" si="214"/>
        <v>0</v>
      </c>
      <c r="R574" s="78">
        <f t="shared" si="214"/>
        <v>0</v>
      </c>
      <c r="S574" s="78">
        <f t="shared" si="214"/>
        <v>2000</v>
      </c>
      <c r="T574" s="78">
        <f t="shared" si="214"/>
        <v>0</v>
      </c>
      <c r="U574" s="78">
        <f t="shared" si="214"/>
        <v>0</v>
      </c>
      <c r="V574" s="78">
        <f t="shared" si="214"/>
        <v>0</v>
      </c>
      <c r="W574" s="78">
        <f t="shared" si="214"/>
        <v>0</v>
      </c>
      <c r="X574" s="78">
        <f t="shared" si="214"/>
        <v>0</v>
      </c>
      <c r="Y574" s="78">
        <f t="shared" si="214"/>
        <v>0</v>
      </c>
      <c r="Z574" s="78">
        <f t="shared" si="214"/>
        <v>0</v>
      </c>
      <c r="AA574" s="78">
        <f t="shared" si="214"/>
        <v>0</v>
      </c>
      <c r="AB574" s="78">
        <f t="shared" si="214"/>
        <v>0</v>
      </c>
      <c r="AC574" s="78">
        <f t="shared" si="214"/>
        <v>0</v>
      </c>
      <c r="AD574" s="78">
        <f t="shared" si="214"/>
        <v>0</v>
      </c>
      <c r="AE574" s="78">
        <f t="shared" si="214"/>
        <v>0</v>
      </c>
      <c r="AF574" s="78">
        <f t="shared" si="214"/>
        <v>0</v>
      </c>
    </row>
    <row r="575" spans="1:32" ht="45" x14ac:dyDescent="0.2">
      <c r="A575" s="4"/>
      <c r="B575" s="122"/>
      <c r="C575" s="42" t="s">
        <v>241</v>
      </c>
      <c r="D575" s="134" t="s">
        <v>242</v>
      </c>
      <c r="E575" s="32">
        <v>30000</v>
      </c>
      <c r="F575" s="20">
        <v>0</v>
      </c>
      <c r="G575" s="11">
        <v>0</v>
      </c>
      <c r="H575" s="20">
        <f>F575/3*4</f>
        <v>0</v>
      </c>
      <c r="I575" s="20">
        <v>30000</v>
      </c>
      <c r="J575" s="11">
        <v>0</v>
      </c>
      <c r="K575" s="24">
        <f>L575+T575+U575+AF575</f>
        <v>30000</v>
      </c>
      <c r="L575" s="19">
        <f>SUM(M575:S575)</f>
        <v>30000</v>
      </c>
      <c r="M575" s="55">
        <v>30000</v>
      </c>
      <c r="N575" s="18"/>
      <c r="O575" s="18"/>
      <c r="P575" s="18"/>
      <c r="Q575" s="18"/>
      <c r="R575" s="18"/>
      <c r="S575" s="18"/>
      <c r="T575" s="18"/>
      <c r="U575" s="19">
        <f>SUM(V575:AE575)</f>
        <v>0</v>
      </c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</row>
    <row r="576" spans="1:32" x14ac:dyDescent="0.2">
      <c r="A576" s="31"/>
      <c r="B576" s="189"/>
      <c r="C576" s="33" t="s">
        <v>122</v>
      </c>
      <c r="D576" s="34" t="s">
        <v>123</v>
      </c>
      <c r="E576" s="32">
        <v>20000</v>
      </c>
      <c r="F576" s="20">
        <v>0</v>
      </c>
      <c r="G576" s="11">
        <v>0</v>
      </c>
      <c r="H576" s="20">
        <f t="shared" ref="H576:H578" si="215">F576/3*4</f>
        <v>0</v>
      </c>
      <c r="I576" s="20">
        <v>30000</v>
      </c>
      <c r="J576" s="11">
        <v>0</v>
      </c>
      <c r="K576" s="24">
        <f t="shared" ref="K576:K578" si="216">L576+T576+U576+AF576</f>
        <v>20000</v>
      </c>
      <c r="L576" s="19">
        <f t="shared" ref="L576:L578" si="217">SUM(M576:S576)</f>
        <v>20000</v>
      </c>
      <c r="M576" s="101">
        <v>20000</v>
      </c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</row>
    <row r="577" spans="1:32" x14ac:dyDescent="0.2">
      <c r="A577" s="31"/>
      <c r="B577" s="189"/>
      <c r="C577" s="33" t="s">
        <v>124</v>
      </c>
      <c r="D577" s="34" t="s">
        <v>125</v>
      </c>
      <c r="E577" s="32">
        <v>87000</v>
      </c>
      <c r="F577" s="20">
        <v>40220.82</v>
      </c>
      <c r="G577" s="11">
        <v>0</v>
      </c>
      <c r="H577" s="20">
        <v>48000</v>
      </c>
      <c r="I577" s="20">
        <v>15000</v>
      </c>
      <c r="J577" s="11">
        <v>0</v>
      </c>
      <c r="K577" s="24">
        <f t="shared" si="216"/>
        <v>32000</v>
      </c>
      <c r="L577" s="19">
        <f t="shared" si="217"/>
        <v>32000</v>
      </c>
      <c r="M577" s="101">
        <v>30000</v>
      </c>
      <c r="N577" s="19"/>
      <c r="O577" s="19"/>
      <c r="P577" s="19"/>
      <c r="Q577" s="19"/>
      <c r="R577" s="19"/>
      <c r="S577" s="55">
        <v>2000</v>
      </c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</row>
    <row r="578" spans="1:32" ht="22.5" x14ac:dyDescent="0.2">
      <c r="A578" s="31"/>
      <c r="B578" s="123"/>
      <c r="C578" s="33" t="s">
        <v>142</v>
      </c>
      <c r="D578" s="134" t="s">
        <v>143</v>
      </c>
      <c r="E578" s="32">
        <v>5000</v>
      </c>
      <c r="F578" s="20">
        <v>0</v>
      </c>
      <c r="G578" s="11">
        <v>0</v>
      </c>
      <c r="H578" s="20">
        <f t="shared" si="215"/>
        <v>0</v>
      </c>
      <c r="I578" s="20">
        <v>50000</v>
      </c>
      <c r="J578" s="11">
        <v>0</v>
      </c>
      <c r="K578" s="24">
        <f t="shared" si="216"/>
        <v>5000</v>
      </c>
      <c r="L578" s="19">
        <f t="shared" si="217"/>
        <v>5000</v>
      </c>
      <c r="M578" s="55">
        <v>5000</v>
      </c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</row>
    <row r="579" spans="1:32" ht="15.75" x14ac:dyDescent="0.2">
      <c r="A579" s="35"/>
      <c r="B579" s="172" t="s">
        <v>98</v>
      </c>
      <c r="C579" s="166"/>
      <c r="D579" s="167" t="s">
        <v>10</v>
      </c>
      <c r="E579" s="168">
        <f>SUM(E580:E583)</f>
        <v>356033</v>
      </c>
      <c r="F579" s="168">
        <f>SUM(F580:F583)</f>
        <v>196841.66999999998</v>
      </c>
      <c r="G579" s="176">
        <f>F579/E579</f>
        <v>0.55287478969646064</v>
      </c>
      <c r="H579" s="168">
        <f>H580+H581+H582+H583</f>
        <v>87614.68</v>
      </c>
      <c r="I579" s="168">
        <f>I580+I581+I582+I583</f>
        <v>420500</v>
      </c>
      <c r="J579" s="169">
        <f>I579/E579</f>
        <v>1.1810702940457767</v>
      </c>
      <c r="K579" s="111" t="e">
        <f>#REF!+#REF!+#REF!+K580+K581+K582+#REF!+#REF!</f>
        <v>#REF!</v>
      </c>
      <c r="L579" s="75" t="e">
        <f>#REF!+#REF!+#REF!+L580+L581+L582+#REF!+#REF!</f>
        <v>#REF!</v>
      </c>
      <c r="M579" s="75" t="e">
        <f>#REF!+#REF!+#REF!+M580+M581+M582+#REF!+#REF!</f>
        <v>#REF!</v>
      </c>
      <c r="N579" s="75" t="e">
        <f>#REF!+#REF!+#REF!+N580+N581+N582+#REF!+#REF!</f>
        <v>#REF!</v>
      </c>
      <c r="O579" s="75" t="e">
        <f>#REF!+#REF!+#REF!+O580+O581+O582+#REF!+#REF!</f>
        <v>#REF!</v>
      </c>
      <c r="P579" s="75" t="e">
        <f>#REF!+#REF!+#REF!+P580+P581+P582+#REF!+#REF!</f>
        <v>#REF!</v>
      </c>
      <c r="Q579" s="75" t="e">
        <f>#REF!+#REF!+#REF!+Q580+Q581+Q582+#REF!+#REF!</f>
        <v>#REF!</v>
      </c>
      <c r="R579" s="75" t="e">
        <f>#REF!+#REF!+#REF!+R580+R581+R582+#REF!+#REF!</f>
        <v>#REF!</v>
      </c>
      <c r="S579" s="75" t="e">
        <f>#REF!+#REF!+#REF!+S580+S581+S582+#REF!+#REF!</f>
        <v>#REF!</v>
      </c>
      <c r="T579" s="75" t="e">
        <f>#REF!+#REF!+#REF!+T580+T581+T582+#REF!+#REF!</f>
        <v>#REF!</v>
      </c>
      <c r="U579" s="75" t="e">
        <f>#REF!+#REF!+#REF!+U580+U581+U582+#REF!+#REF!</f>
        <v>#REF!</v>
      </c>
      <c r="V579" s="75" t="e">
        <f>#REF!+#REF!+#REF!+V580+V581+V582+#REF!+#REF!</f>
        <v>#REF!</v>
      </c>
      <c r="W579" s="75" t="e">
        <f>#REF!+#REF!+#REF!+W580+W581+W582+#REF!+#REF!</f>
        <v>#REF!</v>
      </c>
      <c r="X579" s="75" t="e">
        <f>#REF!+#REF!+#REF!+X580+X581+X582+#REF!+#REF!</f>
        <v>#REF!</v>
      </c>
      <c r="Y579" s="75" t="e">
        <f>#REF!+#REF!+#REF!+Y580+Y581+Y582+#REF!+#REF!</f>
        <v>#REF!</v>
      </c>
      <c r="Z579" s="75" t="e">
        <f>#REF!+#REF!+#REF!+Z580+Z581+Z582+#REF!+#REF!</f>
        <v>#REF!</v>
      </c>
      <c r="AA579" s="75" t="e">
        <f>#REF!+#REF!+#REF!+AA580+AA581+AA582+#REF!+#REF!</f>
        <v>#REF!</v>
      </c>
      <c r="AB579" s="75" t="e">
        <f>#REF!+#REF!+#REF!+AB580+AB581+AB582+#REF!+#REF!</f>
        <v>#REF!</v>
      </c>
      <c r="AC579" s="75" t="e">
        <f>#REF!+#REF!+#REF!+AC580+AC581+AC582+#REF!+#REF!</f>
        <v>#REF!</v>
      </c>
      <c r="AD579" s="75" t="e">
        <f>#REF!+#REF!+#REF!+AD580+AD581+AD582+#REF!+#REF!</f>
        <v>#REF!</v>
      </c>
      <c r="AE579" s="75" t="e">
        <f>#REF!+#REF!+#REF!+AE580+AE581+AE582+#REF!+#REF!</f>
        <v>#REF!</v>
      </c>
      <c r="AF579" s="75" t="e">
        <f>#REF!+#REF!+#REF!+AF580+AF581+AF582+#REF!+#REF!</f>
        <v>#REF!</v>
      </c>
    </row>
    <row r="580" spans="1:32" x14ac:dyDescent="0.2">
      <c r="A580" s="4"/>
      <c r="B580" s="31"/>
      <c r="C580" s="42" t="s">
        <v>122</v>
      </c>
      <c r="D580" s="134" t="s">
        <v>123</v>
      </c>
      <c r="E580" s="32">
        <v>49000</v>
      </c>
      <c r="F580" s="20">
        <v>4211.01</v>
      </c>
      <c r="G580" s="11">
        <f t="shared" si="186"/>
        <v>8.5938979591836745E-2</v>
      </c>
      <c r="H580" s="20">
        <f>F580/3*4</f>
        <v>5614.68</v>
      </c>
      <c r="I580" s="20">
        <v>53500</v>
      </c>
      <c r="J580" s="11">
        <f t="shared" si="188"/>
        <v>1.0918367346938775</v>
      </c>
      <c r="K580" s="24">
        <f t="shared" ref="K580:K583" si="218">L580+T580+U580+AF580</f>
        <v>49000</v>
      </c>
      <c r="L580" s="19">
        <f t="shared" ref="L580:L583" si="219">SUM(M580:S580)</f>
        <v>49000</v>
      </c>
      <c r="M580" s="101">
        <v>20000</v>
      </c>
      <c r="N580" s="55">
        <v>28000</v>
      </c>
      <c r="O580" s="21"/>
      <c r="P580" s="19"/>
      <c r="Q580" s="19"/>
      <c r="R580" s="19"/>
      <c r="S580" s="55">
        <v>1000</v>
      </c>
      <c r="T580" s="19"/>
      <c r="U580" s="19">
        <f t="shared" ref="U580:U582" si="220">SUM(V580:AE580)</f>
        <v>0</v>
      </c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</row>
    <row r="581" spans="1:32" x14ac:dyDescent="0.2">
      <c r="A581" s="4"/>
      <c r="B581" s="31"/>
      <c r="C581" s="42" t="s">
        <v>130</v>
      </c>
      <c r="D581" s="134" t="s">
        <v>131</v>
      </c>
      <c r="E581" s="32">
        <v>235000</v>
      </c>
      <c r="F581" s="20">
        <v>130668.46</v>
      </c>
      <c r="G581" s="11">
        <f t="shared" si="186"/>
        <v>0.55603599999999997</v>
      </c>
      <c r="H581" s="20">
        <v>14000</v>
      </c>
      <c r="I581" s="20">
        <v>335000</v>
      </c>
      <c r="J581" s="11">
        <f t="shared" si="188"/>
        <v>1.425531914893617</v>
      </c>
      <c r="K581" s="24">
        <f t="shared" si="218"/>
        <v>235000</v>
      </c>
      <c r="L581" s="19">
        <f t="shared" si="219"/>
        <v>235000</v>
      </c>
      <c r="M581" s="19"/>
      <c r="N581" s="55">
        <v>235000</v>
      </c>
      <c r="O581" s="21"/>
      <c r="P581" s="19"/>
      <c r="Q581" s="19"/>
      <c r="R581" s="19"/>
      <c r="S581" s="19"/>
      <c r="T581" s="19"/>
      <c r="U581" s="19">
        <f t="shared" si="220"/>
        <v>0</v>
      </c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</row>
    <row r="582" spans="1:32" x14ac:dyDescent="0.2">
      <c r="A582" s="4"/>
      <c r="B582" s="31"/>
      <c r="C582" s="42" t="s">
        <v>124</v>
      </c>
      <c r="D582" s="134" t="s">
        <v>125</v>
      </c>
      <c r="E582" s="32">
        <v>64033</v>
      </c>
      <c r="F582" s="20">
        <v>53962.2</v>
      </c>
      <c r="G582" s="11">
        <f t="shared" si="186"/>
        <v>0.8427248450017959</v>
      </c>
      <c r="H582" s="20">
        <v>60000</v>
      </c>
      <c r="I582" s="20">
        <v>32000</v>
      </c>
      <c r="J582" s="11">
        <f t="shared" si="188"/>
        <v>0.49974232036606125</v>
      </c>
      <c r="K582" s="24">
        <f t="shared" si="218"/>
        <v>32000</v>
      </c>
      <c r="L582" s="19">
        <f t="shared" si="219"/>
        <v>32000</v>
      </c>
      <c r="M582" s="19"/>
      <c r="N582" s="55">
        <v>32000</v>
      </c>
      <c r="O582" s="21"/>
      <c r="P582" s="19"/>
      <c r="Q582" s="19"/>
      <c r="R582" s="19"/>
      <c r="S582" s="19"/>
      <c r="T582" s="19"/>
      <c r="U582" s="19">
        <f t="shared" si="220"/>
        <v>0</v>
      </c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</row>
    <row r="583" spans="1:32" ht="67.5" x14ac:dyDescent="0.2">
      <c r="A583" s="4"/>
      <c r="B583" s="31"/>
      <c r="C583" s="33" t="s">
        <v>210</v>
      </c>
      <c r="D583" s="134" t="s">
        <v>211</v>
      </c>
      <c r="E583" s="32">
        <v>8000</v>
      </c>
      <c r="F583" s="20">
        <v>8000</v>
      </c>
      <c r="G583" s="11">
        <f>F583/E583</f>
        <v>1</v>
      </c>
      <c r="H583" s="20">
        <v>8000</v>
      </c>
      <c r="I583" s="20">
        <v>0</v>
      </c>
      <c r="J583" s="11">
        <v>0</v>
      </c>
      <c r="K583" s="24">
        <f t="shared" si="218"/>
        <v>0</v>
      </c>
      <c r="L583" s="19">
        <f t="shared" si="219"/>
        <v>0</v>
      </c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</row>
    <row r="584" spans="1:32" ht="22.5" x14ac:dyDescent="0.2">
      <c r="A584" s="155" t="s">
        <v>99</v>
      </c>
      <c r="B584" s="156"/>
      <c r="C584" s="157"/>
      <c r="D584" s="158" t="s">
        <v>100</v>
      </c>
      <c r="E584" s="159">
        <f>E585+E590+E602+E605+E612+E615</f>
        <v>2832431.99</v>
      </c>
      <c r="F584" s="159">
        <f>F585+F590+F602+F605+F612+F615</f>
        <v>2188480.5200000005</v>
      </c>
      <c r="G584" s="87">
        <f t="shared" si="186"/>
        <v>0.77265068595698227</v>
      </c>
      <c r="H584" s="135">
        <f>H585+H590+H602+H605+H612+H615</f>
        <v>2701426.8933333335</v>
      </c>
      <c r="I584" s="135">
        <f>I585+I590+I602+I605+I612+I615</f>
        <v>2734863.3800000004</v>
      </c>
      <c r="J584" s="87">
        <f t="shared" si="188"/>
        <v>0.96555306169946209</v>
      </c>
      <c r="K584" s="108" t="e">
        <f>K585+K590+K602+K605+K612+#REF!+K615</f>
        <v>#REF!</v>
      </c>
      <c r="L584" s="27" t="e">
        <f>L585+L590+L602+L605+L612+#REF!+L615</f>
        <v>#REF!</v>
      </c>
      <c r="M584" s="27" t="e">
        <f>M585+M590+M602+M605+M612+#REF!+M615</f>
        <v>#REF!</v>
      </c>
      <c r="N584" s="27" t="e">
        <f>N585+N590+N602+N605+N612+#REF!+N615</f>
        <v>#REF!</v>
      </c>
      <c r="O584" s="27"/>
      <c r="P584" s="27" t="e">
        <f>P585+P590+P602+P605+P612+#REF!+P615</f>
        <v>#REF!</v>
      </c>
      <c r="Q584" s="27" t="e">
        <f>Q585+Q590+Q602+Q605+Q612+#REF!+Q615</f>
        <v>#REF!</v>
      </c>
      <c r="R584" s="27" t="e">
        <f>R585+R590+R602+R605+R612+#REF!+R615</f>
        <v>#REF!</v>
      </c>
      <c r="S584" s="28" t="e">
        <f>S585+S590+S602+S605+S612+#REF!+S615</f>
        <v>#REF!</v>
      </c>
      <c r="T584" s="27" t="e">
        <f>T585+T590+T602+T605+T612+#REF!+T615</f>
        <v>#REF!</v>
      </c>
      <c r="U584" s="27" t="e">
        <f>U585+U590+U602+U605+U612+#REF!+U615</f>
        <v>#REF!</v>
      </c>
      <c r="V584" s="27" t="e">
        <f>V585+V590+V602+V605+V612+#REF!+V615</f>
        <v>#REF!</v>
      </c>
      <c r="W584" s="27" t="e">
        <f>W585+W590+W602+W605+W612+#REF!+W615</f>
        <v>#REF!</v>
      </c>
      <c r="X584" s="27" t="e">
        <f>X585+X590+X602+X605+X612+#REF!+X615</f>
        <v>#REF!</v>
      </c>
      <c r="Y584" s="27" t="e">
        <f>Y585+Y590+Y602+Y605+Y612+#REF!+Y615</f>
        <v>#REF!</v>
      </c>
      <c r="Z584" s="27" t="e">
        <f>Z585+Z590+Z602+Z605+Z612+#REF!+Z615</f>
        <v>#REF!</v>
      </c>
      <c r="AA584" s="27" t="e">
        <f>AA585+AA590+AA602+AA605+AA612+#REF!+AA615</f>
        <v>#REF!</v>
      </c>
      <c r="AB584" s="27" t="e">
        <f>AB585+AB590+AB602+AB605+AB612+#REF!+AB615</f>
        <v>#REF!</v>
      </c>
      <c r="AC584" s="27" t="e">
        <f>AC585+AC590+AC602+AC605+AC612+#REF!+AC615</f>
        <v>#REF!</v>
      </c>
      <c r="AD584" s="27" t="e">
        <f>AD585+AD590+AD602+AD605+AD612+#REF!+AD615</f>
        <v>#REF!</v>
      </c>
      <c r="AE584" s="27" t="e">
        <f>AE585+AE590+AE602+AE605+AE612+#REF!+AE615</f>
        <v>#REF!</v>
      </c>
      <c r="AF584" s="27" t="e">
        <f>AF585+AF590+AF602+AF605+AF612+#REF!+AF615</f>
        <v>#REF!</v>
      </c>
    </row>
    <row r="585" spans="1:32" ht="22.5" x14ac:dyDescent="0.2">
      <c r="A585" s="3"/>
      <c r="B585" s="165" t="s">
        <v>317</v>
      </c>
      <c r="C585" s="166"/>
      <c r="D585" s="167" t="s">
        <v>318</v>
      </c>
      <c r="E585" s="168">
        <f>E586+E587+E588+E589</f>
        <v>14000</v>
      </c>
      <c r="F585" s="168">
        <f>F586+F587+F588+F589</f>
        <v>5000</v>
      </c>
      <c r="G585" s="170">
        <f t="shared" si="186"/>
        <v>0.35714285714285715</v>
      </c>
      <c r="H585" s="171">
        <f>H586+H587+H588+H589</f>
        <v>6666.666666666667</v>
      </c>
      <c r="I585" s="171">
        <f>I586+I587+I588+I589</f>
        <v>20000</v>
      </c>
      <c r="J585" s="170">
        <f t="shared" si="188"/>
        <v>1.4285714285714286</v>
      </c>
      <c r="K585" s="112" t="e">
        <f>K586+#REF!+K587+K588+K589</f>
        <v>#REF!</v>
      </c>
      <c r="L585" s="72" t="e">
        <f>L586+#REF!+L587+L588+L589</f>
        <v>#REF!</v>
      </c>
      <c r="M585" s="72" t="e">
        <f>M586+#REF!+M587+M588+M589</f>
        <v>#REF!</v>
      </c>
      <c r="N585" s="72" t="e">
        <f>N586+#REF!+N587+N588+N589</f>
        <v>#REF!</v>
      </c>
      <c r="O585" s="72"/>
      <c r="P585" s="72" t="e">
        <f>P586+#REF!+P587+P588+P589</f>
        <v>#REF!</v>
      </c>
      <c r="Q585" s="72" t="e">
        <f>Q586+#REF!+Q587+Q588+Q589</f>
        <v>#REF!</v>
      </c>
      <c r="R585" s="72" t="e">
        <f>R586+#REF!+R587+R588+R589</f>
        <v>#REF!</v>
      </c>
      <c r="S585" s="73" t="e">
        <f>S586+#REF!+S587+S588+S589</f>
        <v>#REF!</v>
      </c>
      <c r="T585" s="72" t="e">
        <f>T586+#REF!+T587+T588+T589</f>
        <v>#REF!</v>
      </c>
      <c r="U585" s="72" t="e">
        <f>U586+#REF!+U587+U588+U589</f>
        <v>#REF!</v>
      </c>
      <c r="V585" s="72" t="e">
        <f>V586+#REF!+V587+V588+V589</f>
        <v>#REF!</v>
      </c>
      <c r="W585" s="72" t="e">
        <f>W586+#REF!+W587+W588+W589</f>
        <v>#REF!</v>
      </c>
      <c r="X585" s="72" t="e">
        <f>X586+#REF!+X587+X588+X589</f>
        <v>#REF!</v>
      </c>
      <c r="Y585" s="72" t="e">
        <f>Y586+#REF!+Y587+Y588+Y589</f>
        <v>#REF!</v>
      </c>
      <c r="Z585" s="72" t="e">
        <f>Z586+#REF!+Z587+Z588+Z589</f>
        <v>#REF!</v>
      </c>
      <c r="AA585" s="72" t="e">
        <f>AA586+#REF!+AA587+AA588+AA589</f>
        <v>#REF!</v>
      </c>
      <c r="AB585" s="72" t="e">
        <f>AB586+#REF!+AB587+AB588+AB589</f>
        <v>#REF!</v>
      </c>
      <c r="AC585" s="72" t="e">
        <f>AC586+#REF!+AC587+AC588+AC589</f>
        <v>#REF!</v>
      </c>
      <c r="AD585" s="72" t="e">
        <f>AD586+#REF!+AD587+AD588+AD589</f>
        <v>#REF!</v>
      </c>
      <c r="AE585" s="72" t="e">
        <f>AE586+#REF!+AE587+AE588+AE589</f>
        <v>#REF!</v>
      </c>
      <c r="AF585" s="72" t="e">
        <f>AF586+#REF!+AF587+AF588+AF589</f>
        <v>#REF!</v>
      </c>
    </row>
    <row r="586" spans="1:32" ht="67.5" x14ac:dyDescent="0.2">
      <c r="A586" s="4"/>
      <c r="B586" s="31"/>
      <c r="C586" s="42" t="s">
        <v>77</v>
      </c>
      <c r="D586" s="134" t="s">
        <v>216</v>
      </c>
      <c r="E586" s="32">
        <v>9000</v>
      </c>
      <c r="F586" s="20">
        <v>5000</v>
      </c>
      <c r="G586" s="11">
        <f t="shared" si="186"/>
        <v>0.55555555555555558</v>
      </c>
      <c r="H586" s="40">
        <f>F586/3*4</f>
        <v>6666.666666666667</v>
      </c>
      <c r="I586" s="20">
        <v>20000</v>
      </c>
      <c r="J586" s="11">
        <f t="shared" si="188"/>
        <v>2.2222222222222223</v>
      </c>
      <c r="K586" s="24">
        <f>L586+T586+U586+AF586</f>
        <v>9000</v>
      </c>
      <c r="L586" s="19">
        <f>SUM(M586:S586)</f>
        <v>9000</v>
      </c>
      <c r="M586" s="19"/>
      <c r="N586" s="19"/>
      <c r="O586" s="19"/>
      <c r="P586" s="19"/>
      <c r="Q586" s="99">
        <v>9000</v>
      </c>
      <c r="R586" s="19"/>
      <c r="S586" s="19"/>
      <c r="T586" s="19"/>
      <c r="U586" s="19">
        <f>SUM(V586:AE586)</f>
        <v>0</v>
      </c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</row>
    <row r="587" spans="1:32" x14ac:dyDescent="0.2">
      <c r="A587" s="4"/>
      <c r="B587" s="31"/>
      <c r="C587" s="42" t="s">
        <v>128</v>
      </c>
      <c r="D587" s="134" t="s">
        <v>129</v>
      </c>
      <c r="E587" s="32">
        <v>1000</v>
      </c>
      <c r="F587" s="20">
        <v>0</v>
      </c>
      <c r="G587" s="11">
        <f t="shared" si="186"/>
        <v>0</v>
      </c>
      <c r="H587" s="40">
        <f t="shared" ref="H587:H589" si="221">F587/3*4</f>
        <v>0</v>
      </c>
      <c r="I587" s="20">
        <v>0</v>
      </c>
      <c r="J587" s="11">
        <f t="shared" si="188"/>
        <v>0</v>
      </c>
      <c r="K587" s="24">
        <f t="shared" ref="K587:K589" si="222">L587+T587+U587+AF587</f>
        <v>1000</v>
      </c>
      <c r="L587" s="19">
        <f>SUM(M587:S587)</f>
        <v>1000</v>
      </c>
      <c r="M587" s="19"/>
      <c r="N587" s="19"/>
      <c r="O587" s="19"/>
      <c r="P587" s="19"/>
      <c r="Q587" s="99">
        <v>1000</v>
      </c>
      <c r="R587" s="19"/>
      <c r="S587" s="19"/>
      <c r="T587" s="19"/>
      <c r="U587" s="19">
        <f>SUM(V587:AE587)</f>
        <v>0</v>
      </c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</row>
    <row r="588" spans="1:32" x14ac:dyDescent="0.2">
      <c r="A588" s="4"/>
      <c r="B588" s="31"/>
      <c r="C588" s="42" t="s">
        <v>122</v>
      </c>
      <c r="D588" s="134" t="s">
        <v>123</v>
      </c>
      <c r="E588" s="32">
        <v>2000</v>
      </c>
      <c r="F588" s="20">
        <v>0</v>
      </c>
      <c r="G588" s="11">
        <f t="shared" ref="G588:G642" si="223">F588/E588</f>
        <v>0</v>
      </c>
      <c r="H588" s="40">
        <f t="shared" si="221"/>
        <v>0</v>
      </c>
      <c r="I588" s="20">
        <v>0</v>
      </c>
      <c r="J588" s="11">
        <f t="shared" ref="J588:J642" si="224">I588/E588</f>
        <v>0</v>
      </c>
      <c r="K588" s="24">
        <f t="shared" si="222"/>
        <v>2000</v>
      </c>
      <c r="L588" s="19">
        <f>SUM(M588:S588)</f>
        <v>2000</v>
      </c>
      <c r="M588" s="19"/>
      <c r="N588" s="19"/>
      <c r="O588" s="19"/>
      <c r="P588" s="19"/>
      <c r="Q588" s="99">
        <v>2000</v>
      </c>
      <c r="R588" s="19"/>
      <c r="S588" s="19"/>
      <c r="T588" s="19"/>
      <c r="U588" s="19">
        <f>SUM(V588:AE588)</f>
        <v>0</v>
      </c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</row>
    <row r="589" spans="1:32" x14ac:dyDescent="0.2">
      <c r="A589" s="4"/>
      <c r="B589" s="31"/>
      <c r="C589" s="42" t="s">
        <v>124</v>
      </c>
      <c r="D589" s="134" t="s">
        <v>125</v>
      </c>
      <c r="E589" s="32">
        <v>2000</v>
      </c>
      <c r="F589" s="20">
        <v>0</v>
      </c>
      <c r="G589" s="11">
        <f t="shared" si="223"/>
        <v>0</v>
      </c>
      <c r="H589" s="40">
        <f t="shared" si="221"/>
        <v>0</v>
      </c>
      <c r="I589" s="20">
        <v>0</v>
      </c>
      <c r="J589" s="11">
        <f t="shared" si="224"/>
        <v>0</v>
      </c>
      <c r="K589" s="24">
        <f t="shared" si="222"/>
        <v>2000</v>
      </c>
      <c r="L589" s="19">
        <f>SUM(M589:S589)</f>
        <v>2000</v>
      </c>
      <c r="M589" s="19"/>
      <c r="N589" s="19"/>
      <c r="O589" s="19"/>
      <c r="P589" s="19"/>
      <c r="Q589" s="99">
        <v>2000</v>
      </c>
      <c r="R589" s="19"/>
      <c r="S589" s="19"/>
      <c r="T589" s="19"/>
      <c r="U589" s="19">
        <f>SUM(V589:AE589)</f>
        <v>0</v>
      </c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</row>
    <row r="590" spans="1:32" ht="22.5" x14ac:dyDescent="0.2">
      <c r="A590" s="3"/>
      <c r="B590" s="165" t="s">
        <v>101</v>
      </c>
      <c r="C590" s="166"/>
      <c r="D590" s="167" t="s">
        <v>102</v>
      </c>
      <c r="E590" s="168">
        <f>SUM(E591:E601)</f>
        <v>1535760.7100000002</v>
      </c>
      <c r="F590" s="168">
        <f>SUM(F591:F601)</f>
        <v>1233202.2400000002</v>
      </c>
      <c r="G590" s="170">
        <f t="shared" si="223"/>
        <v>0.80299113785766796</v>
      </c>
      <c r="H590" s="168">
        <f>H591+H592+H593+H594+H595+H596+H597+H599+H600+H601+H598</f>
        <v>1482715.6533333333</v>
      </c>
      <c r="I590" s="168">
        <f>I591+I592+I593+I594+I595+I596+I597+I599+I600+I601+I598</f>
        <v>1498267.71</v>
      </c>
      <c r="J590" s="170">
        <f t="shared" si="224"/>
        <v>0.97558669149701049</v>
      </c>
      <c r="K590" s="112">
        <f>K591+K592+K593+K594+K595+K596+K597+K599+K600+K601</f>
        <v>1756756.08</v>
      </c>
      <c r="L590" s="72">
        <f>L591+L592+L593+L594+L595+L596+L597+L599+L600+L601</f>
        <v>1756756.08</v>
      </c>
      <c r="M590" s="72">
        <f>M591+M592+M593+M594+M595+M596+M597+M599+M600+M601</f>
        <v>0</v>
      </c>
      <c r="N590" s="72">
        <f>N591+N592+N593+N594+N595+N596+N597+N599+N600+N601</f>
        <v>110000</v>
      </c>
      <c r="O590" s="72"/>
      <c r="P590" s="72">
        <f t="shared" ref="P590:AF590" si="225">P591+P592+P593+P594+P595+P596+P597+P599+P600+P601</f>
        <v>0</v>
      </c>
      <c r="Q590" s="72">
        <f t="shared" si="225"/>
        <v>1531246</v>
      </c>
      <c r="R590" s="72">
        <f t="shared" si="225"/>
        <v>0</v>
      </c>
      <c r="S590" s="73">
        <f t="shared" si="225"/>
        <v>115510.08</v>
      </c>
      <c r="T590" s="72">
        <f t="shared" si="225"/>
        <v>0</v>
      </c>
      <c r="U590" s="72">
        <f t="shared" si="225"/>
        <v>0</v>
      </c>
      <c r="V590" s="72">
        <f t="shared" si="225"/>
        <v>0</v>
      </c>
      <c r="W590" s="72">
        <f t="shared" si="225"/>
        <v>0</v>
      </c>
      <c r="X590" s="72">
        <f t="shared" si="225"/>
        <v>0</v>
      </c>
      <c r="Y590" s="72">
        <f t="shared" si="225"/>
        <v>0</v>
      </c>
      <c r="Z590" s="72">
        <f t="shared" si="225"/>
        <v>0</v>
      </c>
      <c r="AA590" s="72">
        <f t="shared" si="225"/>
        <v>0</v>
      </c>
      <c r="AB590" s="72">
        <f t="shared" si="225"/>
        <v>0</v>
      </c>
      <c r="AC590" s="72">
        <f t="shared" si="225"/>
        <v>0</v>
      </c>
      <c r="AD590" s="72">
        <f t="shared" si="225"/>
        <v>0</v>
      </c>
      <c r="AE590" s="72">
        <f t="shared" si="225"/>
        <v>0</v>
      </c>
      <c r="AF590" s="72">
        <f t="shared" si="225"/>
        <v>0</v>
      </c>
    </row>
    <row r="591" spans="1:32" ht="22.5" x14ac:dyDescent="0.2">
      <c r="A591" s="4"/>
      <c r="B591" s="31"/>
      <c r="C591" s="42" t="s">
        <v>319</v>
      </c>
      <c r="D591" s="134" t="s">
        <v>320</v>
      </c>
      <c r="E591" s="32">
        <v>1281246</v>
      </c>
      <c r="F591" s="20">
        <v>1082100</v>
      </c>
      <c r="G591" s="11">
        <f t="shared" si="223"/>
        <v>0.84456849036016501</v>
      </c>
      <c r="H591" s="32">
        <v>1281246</v>
      </c>
      <c r="I591" s="20">
        <v>1202296</v>
      </c>
      <c r="J591" s="11">
        <f t="shared" si="224"/>
        <v>0.93838029543116619</v>
      </c>
      <c r="K591" s="24">
        <f>L591+T591+U591+AF591</f>
        <v>1531246</v>
      </c>
      <c r="L591" s="19">
        <f>SUM(M591:S591)</f>
        <v>1531246</v>
      </c>
      <c r="M591" s="19"/>
      <c r="N591" s="19"/>
      <c r="O591" s="19"/>
      <c r="P591" s="19"/>
      <c r="Q591" s="99">
        <v>1531246</v>
      </c>
      <c r="R591" s="19"/>
      <c r="S591" s="19"/>
      <c r="T591" s="19"/>
      <c r="U591" s="19">
        <f>SUM(V591:AE591)</f>
        <v>0</v>
      </c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</row>
    <row r="592" spans="1:32" hidden="1" x14ac:dyDescent="0.2">
      <c r="A592" s="4"/>
      <c r="B592" s="31"/>
      <c r="C592" s="42" t="s">
        <v>118</v>
      </c>
      <c r="D592" s="134" t="s">
        <v>119</v>
      </c>
      <c r="E592" s="32"/>
      <c r="F592" s="20"/>
      <c r="G592" s="11">
        <v>0</v>
      </c>
      <c r="H592" s="32">
        <f t="shared" ref="H592:H600" si="226">F592/3*4</f>
        <v>0</v>
      </c>
      <c r="I592" s="20"/>
      <c r="J592" s="11">
        <v>0</v>
      </c>
      <c r="K592" s="24">
        <f t="shared" ref="K592:K601" si="227">L592+T592+U592+AF592</f>
        <v>0</v>
      </c>
      <c r="L592" s="19">
        <f t="shared" ref="L592:L593" si="228">SUM(M592:S592)</f>
        <v>0</v>
      </c>
      <c r="M592" s="19"/>
      <c r="N592" s="19"/>
      <c r="O592" s="19"/>
      <c r="P592" s="19"/>
      <c r="Q592" s="19"/>
      <c r="R592" s="19"/>
      <c r="S592" s="19"/>
      <c r="T592" s="19"/>
      <c r="U592" s="19">
        <f t="shared" ref="U592:U601" si="229">SUM(V592:AE592)</f>
        <v>0</v>
      </c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</row>
    <row r="593" spans="1:32" hidden="1" x14ac:dyDescent="0.2">
      <c r="A593" s="4"/>
      <c r="B593" s="31"/>
      <c r="C593" s="42" t="s">
        <v>120</v>
      </c>
      <c r="D593" s="134" t="s">
        <v>121</v>
      </c>
      <c r="E593" s="32"/>
      <c r="F593" s="20"/>
      <c r="G593" s="11">
        <v>0</v>
      </c>
      <c r="H593" s="32">
        <f t="shared" si="226"/>
        <v>0</v>
      </c>
      <c r="I593" s="20"/>
      <c r="J593" s="11">
        <v>0</v>
      </c>
      <c r="K593" s="24">
        <f t="shared" si="227"/>
        <v>0</v>
      </c>
      <c r="L593" s="19">
        <f t="shared" si="228"/>
        <v>0</v>
      </c>
      <c r="M593" s="19"/>
      <c r="N593" s="19"/>
      <c r="O593" s="19"/>
      <c r="P593" s="19"/>
      <c r="Q593" s="19"/>
      <c r="R593" s="19"/>
      <c r="S593" s="19"/>
      <c r="T593" s="19"/>
      <c r="U593" s="19">
        <f t="shared" si="229"/>
        <v>0</v>
      </c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</row>
    <row r="594" spans="1:32" x14ac:dyDescent="0.2">
      <c r="A594" s="4"/>
      <c r="B594" s="31"/>
      <c r="C594" s="42" t="s">
        <v>128</v>
      </c>
      <c r="D594" s="134" t="s">
        <v>129</v>
      </c>
      <c r="E594" s="32">
        <v>13911.5</v>
      </c>
      <c r="F594" s="20">
        <v>8897.8700000000008</v>
      </c>
      <c r="G594" s="11">
        <f t="shared" si="223"/>
        <v>0.63960536246989907</v>
      </c>
      <c r="H594" s="32">
        <f t="shared" si="226"/>
        <v>11863.826666666668</v>
      </c>
      <c r="I594" s="20">
        <v>15300</v>
      </c>
      <c r="J594" s="11">
        <f t="shared" si="224"/>
        <v>1.0998095101175287</v>
      </c>
      <c r="K594" s="24">
        <f t="shared" si="227"/>
        <v>13800</v>
      </c>
      <c r="L594" s="19">
        <f t="shared" ref="L594:L601" si="230">SUM(M594:S594)</f>
        <v>13800</v>
      </c>
      <c r="M594" s="19"/>
      <c r="N594" s="19"/>
      <c r="O594" s="19"/>
      <c r="P594" s="19"/>
      <c r="Q594" s="19"/>
      <c r="R594" s="19"/>
      <c r="S594" s="55">
        <v>13800</v>
      </c>
      <c r="T594" s="19"/>
      <c r="U594" s="19">
        <f t="shared" si="229"/>
        <v>0</v>
      </c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</row>
    <row r="595" spans="1:32" x14ac:dyDescent="0.2">
      <c r="A595" s="4"/>
      <c r="B595" s="31"/>
      <c r="C595" s="42" t="s">
        <v>122</v>
      </c>
      <c r="D595" s="134" t="s">
        <v>123</v>
      </c>
      <c r="E595" s="32">
        <v>86747.06</v>
      </c>
      <c r="F595" s="20">
        <v>60766.35</v>
      </c>
      <c r="G595" s="11">
        <f t="shared" si="223"/>
        <v>0.70050039736216996</v>
      </c>
      <c r="H595" s="32">
        <f t="shared" si="226"/>
        <v>81021.8</v>
      </c>
      <c r="I595" s="20">
        <v>72887.13</v>
      </c>
      <c r="J595" s="11">
        <f t="shared" si="224"/>
        <v>0.84022593964567793</v>
      </c>
      <c r="K595" s="24">
        <f t="shared" si="227"/>
        <v>76745.759999999995</v>
      </c>
      <c r="L595" s="19">
        <f t="shared" si="230"/>
        <v>76745.759999999995</v>
      </c>
      <c r="M595" s="19"/>
      <c r="N595" s="101">
        <v>0</v>
      </c>
      <c r="O595" s="55"/>
      <c r="P595" s="19"/>
      <c r="Q595" s="19"/>
      <c r="R595" s="19"/>
      <c r="S595" s="55">
        <v>76745.759999999995</v>
      </c>
      <c r="T595" s="19"/>
      <c r="U595" s="19">
        <f t="shared" si="229"/>
        <v>0</v>
      </c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</row>
    <row r="596" spans="1:32" x14ac:dyDescent="0.2">
      <c r="A596" s="4"/>
      <c r="B596" s="31"/>
      <c r="C596" s="42" t="s">
        <v>130</v>
      </c>
      <c r="D596" s="134" t="s">
        <v>131</v>
      </c>
      <c r="E596" s="32">
        <v>61000</v>
      </c>
      <c r="F596" s="20">
        <v>34576.239999999998</v>
      </c>
      <c r="G596" s="11">
        <f t="shared" si="223"/>
        <v>0.56682360655737707</v>
      </c>
      <c r="H596" s="32">
        <f t="shared" si="226"/>
        <v>46101.653333333328</v>
      </c>
      <c r="I596" s="20">
        <v>101000</v>
      </c>
      <c r="J596" s="11">
        <f t="shared" si="224"/>
        <v>1.6557377049180328</v>
      </c>
      <c r="K596" s="24">
        <f t="shared" si="227"/>
        <v>61000</v>
      </c>
      <c r="L596" s="19">
        <f t="shared" si="230"/>
        <v>61000</v>
      </c>
      <c r="M596" s="19"/>
      <c r="N596" s="55">
        <v>60000</v>
      </c>
      <c r="O596" s="55"/>
      <c r="P596" s="19"/>
      <c r="Q596" s="19"/>
      <c r="R596" s="19"/>
      <c r="S596" s="55">
        <v>1000</v>
      </c>
      <c r="T596" s="19"/>
      <c r="U596" s="19">
        <f t="shared" si="229"/>
        <v>0</v>
      </c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</row>
    <row r="597" spans="1:32" hidden="1" x14ac:dyDescent="0.2">
      <c r="A597" s="4"/>
      <c r="B597" s="31"/>
      <c r="C597" s="42" t="s">
        <v>140</v>
      </c>
      <c r="D597" s="134" t="s">
        <v>141</v>
      </c>
      <c r="E597" s="32"/>
      <c r="F597" s="20"/>
      <c r="G597" s="11">
        <v>0</v>
      </c>
      <c r="H597" s="32">
        <f t="shared" si="226"/>
        <v>0</v>
      </c>
      <c r="I597" s="20"/>
      <c r="J597" s="11">
        <v>0</v>
      </c>
      <c r="K597" s="24">
        <f t="shared" si="227"/>
        <v>0</v>
      </c>
      <c r="L597" s="19">
        <f t="shared" si="230"/>
        <v>0</v>
      </c>
      <c r="M597" s="19"/>
      <c r="N597" s="19"/>
      <c r="O597" s="19"/>
      <c r="P597" s="19"/>
      <c r="Q597" s="19"/>
      <c r="R597" s="19"/>
      <c r="S597" s="19"/>
      <c r="T597" s="19"/>
      <c r="U597" s="19">
        <f t="shared" si="229"/>
        <v>0</v>
      </c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</row>
    <row r="598" spans="1:32" x14ac:dyDescent="0.2">
      <c r="A598" s="4"/>
      <c r="B598" s="31"/>
      <c r="C598" s="33" t="s">
        <v>140</v>
      </c>
      <c r="D598" s="34" t="s">
        <v>141</v>
      </c>
      <c r="E598" s="32">
        <v>0</v>
      </c>
      <c r="F598" s="20">
        <v>0</v>
      </c>
      <c r="G598" s="11">
        <v>0</v>
      </c>
      <c r="H598" s="32">
        <f t="shared" si="226"/>
        <v>0</v>
      </c>
      <c r="I598" s="20">
        <v>70000</v>
      </c>
      <c r="J598" s="11">
        <v>0</v>
      </c>
      <c r="K598" s="24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</row>
    <row r="599" spans="1:32" x14ac:dyDescent="0.2">
      <c r="A599" s="4"/>
      <c r="B599" s="31"/>
      <c r="C599" s="42" t="s">
        <v>124</v>
      </c>
      <c r="D599" s="134" t="s">
        <v>125</v>
      </c>
      <c r="E599" s="32">
        <v>88675.35</v>
      </c>
      <c r="F599" s="20">
        <v>45939.48</v>
      </c>
      <c r="G599" s="11">
        <f t="shared" si="223"/>
        <v>0.51806370090447906</v>
      </c>
      <c r="H599" s="32">
        <f t="shared" si="226"/>
        <v>61252.640000000007</v>
      </c>
      <c r="I599" s="20">
        <v>21356.1</v>
      </c>
      <c r="J599" s="11">
        <f t="shared" si="224"/>
        <v>0.24083468517462855</v>
      </c>
      <c r="K599" s="24">
        <f t="shared" si="227"/>
        <v>72783.520000000004</v>
      </c>
      <c r="L599" s="19">
        <f t="shared" si="230"/>
        <v>72783.520000000004</v>
      </c>
      <c r="M599" s="19"/>
      <c r="N599" s="101">
        <v>50000</v>
      </c>
      <c r="O599" s="55"/>
      <c r="P599" s="19"/>
      <c r="Q599" s="19"/>
      <c r="R599" s="19"/>
      <c r="S599" s="55">
        <v>22783.52</v>
      </c>
      <c r="T599" s="19"/>
      <c r="U599" s="19">
        <f t="shared" si="229"/>
        <v>0</v>
      </c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</row>
    <row r="600" spans="1:32" ht="22.5" x14ac:dyDescent="0.2">
      <c r="A600" s="4"/>
      <c r="B600" s="31"/>
      <c r="C600" s="42" t="s">
        <v>147</v>
      </c>
      <c r="D600" s="134" t="s">
        <v>148</v>
      </c>
      <c r="E600" s="32">
        <v>1180.8</v>
      </c>
      <c r="F600" s="20">
        <v>922.3</v>
      </c>
      <c r="G600" s="11">
        <f t="shared" si="223"/>
        <v>0.78108062330623307</v>
      </c>
      <c r="H600" s="32">
        <f t="shared" si="226"/>
        <v>1229.7333333333333</v>
      </c>
      <c r="I600" s="20">
        <v>1180.8</v>
      </c>
      <c r="J600" s="11">
        <f t="shared" si="224"/>
        <v>1</v>
      </c>
      <c r="K600" s="24">
        <f t="shared" si="227"/>
        <v>1180.8</v>
      </c>
      <c r="L600" s="19">
        <f t="shared" si="230"/>
        <v>1180.8</v>
      </c>
      <c r="M600" s="19"/>
      <c r="N600" s="19"/>
      <c r="O600" s="19"/>
      <c r="P600" s="19"/>
      <c r="Q600" s="19"/>
      <c r="R600" s="19"/>
      <c r="S600" s="55">
        <v>1180.8</v>
      </c>
      <c r="T600" s="19"/>
      <c r="U600" s="19">
        <f t="shared" si="229"/>
        <v>0</v>
      </c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</row>
    <row r="601" spans="1:32" ht="22.5" x14ac:dyDescent="0.2">
      <c r="A601" s="4"/>
      <c r="B601" s="31"/>
      <c r="C601" s="42" t="s">
        <v>142</v>
      </c>
      <c r="D601" s="134" t="s">
        <v>143</v>
      </c>
      <c r="E601" s="32">
        <v>3000</v>
      </c>
      <c r="F601" s="20">
        <v>0</v>
      </c>
      <c r="G601" s="11">
        <f t="shared" si="223"/>
        <v>0</v>
      </c>
      <c r="H601" s="32">
        <v>0</v>
      </c>
      <c r="I601" s="20">
        <v>14247.68</v>
      </c>
      <c r="J601" s="11">
        <f t="shared" si="224"/>
        <v>4.7492266666666669</v>
      </c>
      <c r="K601" s="24">
        <f t="shared" si="227"/>
        <v>0</v>
      </c>
      <c r="L601" s="19">
        <f t="shared" si="230"/>
        <v>0</v>
      </c>
      <c r="M601" s="19"/>
      <c r="N601" s="19"/>
      <c r="O601" s="19"/>
      <c r="P601" s="19"/>
      <c r="Q601" s="19"/>
      <c r="R601" s="19"/>
      <c r="S601" s="19"/>
      <c r="T601" s="19"/>
      <c r="U601" s="19">
        <f t="shared" si="229"/>
        <v>0</v>
      </c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</row>
    <row r="602" spans="1:32" ht="15.75" x14ac:dyDescent="0.2">
      <c r="A602" s="3"/>
      <c r="B602" s="165" t="s">
        <v>321</v>
      </c>
      <c r="C602" s="166"/>
      <c r="D602" s="167" t="s">
        <v>322</v>
      </c>
      <c r="E602" s="171">
        <f>E603+E604</f>
        <v>431963.01</v>
      </c>
      <c r="F602" s="171">
        <f>F603+F604</f>
        <v>324000</v>
      </c>
      <c r="G602" s="170">
        <f t="shared" si="223"/>
        <v>0.75006422424920127</v>
      </c>
      <c r="H602" s="171">
        <f>H603+H604</f>
        <v>431742</v>
      </c>
      <c r="I602" s="171">
        <f>I603+I604</f>
        <v>421423.49</v>
      </c>
      <c r="J602" s="170">
        <f t="shared" si="224"/>
        <v>0.97560087378778104</v>
      </c>
      <c r="K602" s="112" t="e">
        <f>K603+#REF!+K604</f>
        <v>#REF!</v>
      </c>
      <c r="L602" s="72" t="e">
        <f>L603+#REF!+L604</f>
        <v>#REF!</v>
      </c>
      <c r="M602" s="72" t="e">
        <f>M603+#REF!</f>
        <v>#REF!</v>
      </c>
      <c r="N602" s="72" t="e">
        <f>N603+#REF!</f>
        <v>#REF!</v>
      </c>
      <c r="O602" s="72"/>
      <c r="P602" s="72" t="e">
        <f>P603+#REF!</f>
        <v>#REF!</v>
      </c>
      <c r="Q602" s="72" t="e">
        <f>Q603+#REF!</f>
        <v>#REF!</v>
      </c>
      <c r="R602" s="72" t="e">
        <f>R603+#REF!</f>
        <v>#REF!</v>
      </c>
      <c r="S602" s="73" t="e">
        <f>S603+#REF!+S604</f>
        <v>#REF!</v>
      </c>
      <c r="T602" s="72" t="e">
        <f>T603+#REF!</f>
        <v>#REF!</v>
      </c>
      <c r="U602" s="72" t="e">
        <f>U603+#REF!</f>
        <v>#REF!</v>
      </c>
      <c r="V602" s="72" t="e">
        <f>V603+#REF!</f>
        <v>#REF!</v>
      </c>
      <c r="W602" s="72" t="e">
        <f>W603+#REF!</f>
        <v>#REF!</v>
      </c>
      <c r="X602" s="72" t="e">
        <f>X603+#REF!</f>
        <v>#REF!</v>
      </c>
      <c r="Y602" s="72" t="e">
        <f>Y603+#REF!</f>
        <v>#REF!</v>
      </c>
      <c r="Z602" s="72" t="e">
        <f>Z603+#REF!</f>
        <v>#REF!</v>
      </c>
      <c r="AA602" s="72" t="e">
        <f>AA603+#REF!</f>
        <v>#REF!</v>
      </c>
      <c r="AB602" s="72" t="e">
        <f>AB603+#REF!</f>
        <v>#REF!</v>
      </c>
      <c r="AC602" s="72" t="e">
        <f>AC603+#REF!</f>
        <v>#REF!</v>
      </c>
      <c r="AD602" s="72" t="e">
        <f>AD603+#REF!</f>
        <v>#REF!</v>
      </c>
      <c r="AE602" s="72" t="e">
        <f>AE603+#REF!</f>
        <v>#REF!</v>
      </c>
      <c r="AF602" s="72" t="e">
        <f>AF603+#REF!</f>
        <v>#REF!</v>
      </c>
    </row>
    <row r="603" spans="1:32" ht="22.5" x14ac:dyDescent="0.2">
      <c r="A603" s="4"/>
      <c r="B603" s="31"/>
      <c r="C603" s="42" t="s">
        <v>319</v>
      </c>
      <c r="D603" s="134" t="s">
        <v>320</v>
      </c>
      <c r="E603" s="32">
        <v>431742</v>
      </c>
      <c r="F603" s="20">
        <v>324000</v>
      </c>
      <c r="G603" s="11">
        <f t="shared" si="223"/>
        <v>0.75044818433230953</v>
      </c>
      <c r="H603" s="20">
        <v>431742</v>
      </c>
      <c r="I603" s="20">
        <v>420836</v>
      </c>
      <c r="J603" s="11">
        <f t="shared" si="224"/>
        <v>0.97473954352367853</v>
      </c>
      <c r="K603" s="24">
        <f>L603+T603+U603+AF603</f>
        <v>431742</v>
      </c>
      <c r="L603" s="19">
        <f>SUM(M603:S603)</f>
        <v>431742</v>
      </c>
      <c r="M603" s="19"/>
      <c r="N603" s="19"/>
      <c r="O603" s="19"/>
      <c r="P603" s="19"/>
      <c r="Q603" s="99">
        <v>431742</v>
      </c>
      <c r="R603" s="19"/>
      <c r="S603" s="19"/>
      <c r="T603" s="19"/>
      <c r="U603" s="19">
        <f>SUM(V603:AE603)</f>
        <v>0</v>
      </c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</row>
    <row r="604" spans="1:32" x14ac:dyDescent="0.2">
      <c r="A604" s="4"/>
      <c r="B604" s="31"/>
      <c r="C604" s="33" t="s">
        <v>122</v>
      </c>
      <c r="D604" s="134" t="s">
        <v>123</v>
      </c>
      <c r="E604" s="32">
        <v>221.01</v>
      </c>
      <c r="F604" s="20">
        <v>0</v>
      </c>
      <c r="G604" s="11">
        <v>0</v>
      </c>
      <c r="H604" s="20">
        <v>0</v>
      </c>
      <c r="I604" s="20">
        <v>587.49</v>
      </c>
      <c r="J604" s="11">
        <v>0</v>
      </c>
      <c r="K604" s="24">
        <f t="shared" ref="K604" si="231">L604+T604+U604+AF604</f>
        <v>221.01</v>
      </c>
      <c r="L604" s="19">
        <f>SUM(M604:S604)</f>
        <v>221.01</v>
      </c>
      <c r="M604" s="19"/>
      <c r="N604" s="19"/>
      <c r="O604" s="19"/>
      <c r="P604" s="19"/>
      <c r="Q604" s="19"/>
      <c r="R604" s="19"/>
      <c r="S604" s="55">
        <v>221.01</v>
      </c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</row>
    <row r="605" spans="1:32" ht="15.75" x14ac:dyDescent="0.2">
      <c r="A605" s="3"/>
      <c r="B605" s="165" t="s">
        <v>323</v>
      </c>
      <c r="C605" s="166"/>
      <c r="D605" s="167" t="s">
        <v>324</v>
      </c>
      <c r="E605" s="171">
        <f t="shared" ref="E605:F605" si="232">E606+E609+E610+E611+E607+E608</f>
        <v>622190</v>
      </c>
      <c r="F605" s="171">
        <f t="shared" si="232"/>
        <v>464296.03</v>
      </c>
      <c r="G605" s="176">
        <f>F605/E605</f>
        <v>0.74622869220013188</v>
      </c>
      <c r="H605" s="171">
        <f>H606+H609+H610+H611+H607+H608</f>
        <v>609434.70666666667</v>
      </c>
      <c r="I605" s="171">
        <f>I606+I609+I610+I611+I607+I608</f>
        <v>615248</v>
      </c>
      <c r="J605" s="169">
        <f>I605/E605</f>
        <v>0.98884263649367554</v>
      </c>
      <c r="K605" s="127">
        <f>K606+K609+K610+K611+K607+K608</f>
        <v>622190</v>
      </c>
      <c r="L605" s="72">
        <f>L606+L609+L610+L611+L607+L608</f>
        <v>622190</v>
      </c>
      <c r="M605" s="72">
        <f t="shared" ref="M605:AF605" si="233">M606+M609+M610+M611+M607</f>
        <v>0</v>
      </c>
      <c r="N605" s="72">
        <f>N606+N609+N610+N611+N607+N608</f>
        <v>12600</v>
      </c>
      <c r="O605" s="72"/>
      <c r="P605" s="72">
        <f t="shared" si="233"/>
        <v>0</v>
      </c>
      <c r="Q605" s="72">
        <f t="shared" si="233"/>
        <v>609590</v>
      </c>
      <c r="R605" s="72">
        <f t="shared" si="233"/>
        <v>0</v>
      </c>
      <c r="S605" s="72">
        <f t="shared" si="233"/>
        <v>0</v>
      </c>
      <c r="T605" s="72">
        <f t="shared" si="233"/>
        <v>0</v>
      </c>
      <c r="U605" s="72">
        <f t="shared" si="233"/>
        <v>0</v>
      </c>
      <c r="V605" s="72">
        <f t="shared" si="233"/>
        <v>0</v>
      </c>
      <c r="W605" s="72">
        <f t="shared" si="233"/>
        <v>0</v>
      </c>
      <c r="X605" s="72">
        <f t="shared" si="233"/>
        <v>0</v>
      </c>
      <c r="Y605" s="72">
        <f t="shared" si="233"/>
        <v>0</v>
      </c>
      <c r="Z605" s="72">
        <f t="shared" si="233"/>
        <v>0</v>
      </c>
      <c r="AA605" s="72">
        <f t="shared" si="233"/>
        <v>0</v>
      </c>
      <c r="AB605" s="72">
        <f t="shared" si="233"/>
        <v>0</v>
      </c>
      <c r="AC605" s="72">
        <f t="shared" si="233"/>
        <v>0</v>
      </c>
      <c r="AD605" s="72">
        <f t="shared" si="233"/>
        <v>0</v>
      </c>
      <c r="AE605" s="72">
        <f t="shared" si="233"/>
        <v>0</v>
      </c>
      <c r="AF605" s="72">
        <f t="shared" si="233"/>
        <v>0</v>
      </c>
    </row>
    <row r="606" spans="1:32" ht="22.5" x14ac:dyDescent="0.2">
      <c r="A606" s="4"/>
      <c r="B606" s="31"/>
      <c r="C606" s="42" t="s">
        <v>319</v>
      </c>
      <c r="D606" s="134" t="s">
        <v>320</v>
      </c>
      <c r="E606" s="32">
        <v>609590</v>
      </c>
      <c r="F606" s="20">
        <v>457220</v>
      </c>
      <c r="G606" s="11">
        <f t="shared" si="223"/>
        <v>0.75004511228858739</v>
      </c>
      <c r="H606" s="20">
        <v>600000</v>
      </c>
      <c r="I606" s="20">
        <v>602648</v>
      </c>
      <c r="J606" s="11">
        <f t="shared" si="224"/>
        <v>0.9886120179136797</v>
      </c>
      <c r="K606" s="24">
        <f>L606+T606+U606+AF606</f>
        <v>609590</v>
      </c>
      <c r="L606" s="19">
        <f t="shared" ref="L606:L611" si="234">SUM(M606:S606)</f>
        <v>609590</v>
      </c>
      <c r="M606" s="19"/>
      <c r="N606" s="19"/>
      <c r="O606" s="19"/>
      <c r="P606" s="19"/>
      <c r="Q606" s="99">
        <v>609590</v>
      </c>
      <c r="R606" s="19"/>
      <c r="S606" s="9"/>
      <c r="T606" s="19"/>
      <c r="U606" s="19">
        <f>SUM(V606:AE606)</f>
        <v>0</v>
      </c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</row>
    <row r="607" spans="1:32" x14ac:dyDescent="0.2">
      <c r="A607" s="4"/>
      <c r="B607" s="31"/>
      <c r="C607" s="42" t="s">
        <v>124</v>
      </c>
      <c r="D607" s="134" t="s">
        <v>125</v>
      </c>
      <c r="E607" s="32">
        <v>9600</v>
      </c>
      <c r="F607" s="20">
        <v>5535</v>
      </c>
      <c r="G607" s="11">
        <f t="shared" si="223"/>
        <v>0.57656249999999998</v>
      </c>
      <c r="H607" s="20">
        <f t="shared" ref="H607:H608" si="235">F607/3*4</f>
        <v>7380</v>
      </c>
      <c r="I607" s="20">
        <v>9600</v>
      </c>
      <c r="J607" s="11">
        <f t="shared" si="224"/>
        <v>1</v>
      </c>
      <c r="K607" s="24">
        <f t="shared" ref="K607:K611" si="236">L607+T607+U607+AF607</f>
        <v>9600</v>
      </c>
      <c r="L607" s="19">
        <f t="shared" si="234"/>
        <v>9600</v>
      </c>
      <c r="M607" s="19"/>
      <c r="N607" s="55">
        <v>9600</v>
      </c>
      <c r="O607" s="55"/>
      <c r="P607" s="19"/>
      <c r="Q607" s="19"/>
      <c r="R607" s="19"/>
      <c r="S607" s="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</row>
    <row r="608" spans="1:32" ht="22.5" x14ac:dyDescent="0.2">
      <c r="A608" s="4"/>
      <c r="B608" s="31"/>
      <c r="C608" s="33" t="s">
        <v>147</v>
      </c>
      <c r="D608" s="134" t="s">
        <v>148</v>
      </c>
      <c r="E608" s="32">
        <v>3000</v>
      </c>
      <c r="F608" s="20">
        <v>1541.03</v>
      </c>
      <c r="G608" s="11">
        <f>F608/E608</f>
        <v>0.51367666666666667</v>
      </c>
      <c r="H608" s="20">
        <f t="shared" si="235"/>
        <v>2054.7066666666665</v>
      </c>
      <c r="I608" s="20">
        <v>3000</v>
      </c>
      <c r="J608" s="11">
        <v>0</v>
      </c>
      <c r="K608" s="24">
        <f t="shared" si="236"/>
        <v>3000</v>
      </c>
      <c r="L608" s="19">
        <f t="shared" si="234"/>
        <v>3000</v>
      </c>
      <c r="M608" s="19"/>
      <c r="N608" s="55">
        <v>3000</v>
      </c>
      <c r="O608" s="55"/>
      <c r="P608" s="19"/>
      <c r="Q608" s="19"/>
      <c r="R608" s="19"/>
      <c r="S608" s="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</row>
    <row r="609" spans="1:32" ht="22.5" hidden="1" x14ac:dyDescent="0.2">
      <c r="A609" s="4"/>
      <c r="B609" s="31"/>
      <c r="C609" s="42" t="s">
        <v>142</v>
      </c>
      <c r="D609" s="134" t="s">
        <v>143</v>
      </c>
      <c r="E609" s="32">
        <v>0</v>
      </c>
      <c r="F609" s="20">
        <v>0</v>
      </c>
      <c r="G609" s="11">
        <v>0</v>
      </c>
      <c r="H609" s="20">
        <v>0</v>
      </c>
      <c r="I609" s="20">
        <f t="shared" ref="I609:I611" si="237">K609</f>
        <v>0</v>
      </c>
      <c r="J609" s="11">
        <v>0</v>
      </c>
      <c r="K609" s="24">
        <f t="shared" si="236"/>
        <v>0</v>
      </c>
      <c r="L609" s="19">
        <f t="shared" si="234"/>
        <v>0</v>
      </c>
      <c r="M609" s="19"/>
      <c r="N609" s="19"/>
      <c r="O609" s="19"/>
      <c r="P609" s="19"/>
      <c r="Q609" s="19"/>
      <c r="R609" s="19"/>
      <c r="S609" s="9"/>
      <c r="T609" s="19"/>
      <c r="U609" s="19">
        <f>SUM(V609:AE609)</f>
        <v>0</v>
      </c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</row>
    <row r="610" spans="1:32" ht="22.5" hidden="1" x14ac:dyDescent="0.2">
      <c r="A610" s="4"/>
      <c r="B610" s="31"/>
      <c r="C610" s="42" t="s">
        <v>325</v>
      </c>
      <c r="D610" s="134" t="s">
        <v>143</v>
      </c>
      <c r="E610" s="32">
        <v>0</v>
      </c>
      <c r="F610" s="20">
        <v>0</v>
      </c>
      <c r="G610" s="11">
        <v>0</v>
      </c>
      <c r="H610" s="20">
        <v>0</v>
      </c>
      <c r="I610" s="20">
        <f t="shared" si="237"/>
        <v>0</v>
      </c>
      <c r="J610" s="11">
        <v>0</v>
      </c>
      <c r="K610" s="24">
        <f t="shared" si="236"/>
        <v>0</v>
      </c>
      <c r="L610" s="19">
        <f t="shared" si="234"/>
        <v>0</v>
      </c>
      <c r="M610" s="19"/>
      <c r="N610" s="19"/>
      <c r="O610" s="19"/>
      <c r="P610" s="19"/>
      <c r="Q610" s="19"/>
      <c r="R610" s="19"/>
      <c r="S610" s="9"/>
      <c r="T610" s="19"/>
      <c r="U610" s="19">
        <f>SUM(V610:AE610)</f>
        <v>0</v>
      </c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</row>
    <row r="611" spans="1:32" ht="22.5" hidden="1" x14ac:dyDescent="0.2">
      <c r="A611" s="4"/>
      <c r="B611" s="31"/>
      <c r="C611" s="42" t="s">
        <v>326</v>
      </c>
      <c r="D611" s="134" t="s">
        <v>143</v>
      </c>
      <c r="E611" s="32">
        <v>0</v>
      </c>
      <c r="F611" s="20">
        <v>0</v>
      </c>
      <c r="G611" s="11">
        <v>0</v>
      </c>
      <c r="H611" s="20">
        <v>0</v>
      </c>
      <c r="I611" s="20">
        <f t="shared" si="237"/>
        <v>0</v>
      </c>
      <c r="J611" s="11">
        <v>0</v>
      </c>
      <c r="K611" s="24">
        <f t="shared" si="236"/>
        <v>0</v>
      </c>
      <c r="L611" s="19">
        <f t="shared" si="234"/>
        <v>0</v>
      </c>
      <c r="M611" s="19"/>
      <c r="N611" s="19"/>
      <c r="O611" s="19"/>
      <c r="P611" s="19"/>
      <c r="Q611" s="19"/>
      <c r="R611" s="19"/>
      <c r="S611" s="9"/>
      <c r="T611" s="19"/>
      <c r="U611" s="19">
        <f>SUM(V611:AE611)</f>
        <v>0</v>
      </c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</row>
    <row r="612" spans="1:32" ht="22.5" x14ac:dyDescent="0.2">
      <c r="A612" s="3"/>
      <c r="B612" s="165" t="s">
        <v>327</v>
      </c>
      <c r="C612" s="166"/>
      <c r="D612" s="167" t="s">
        <v>328</v>
      </c>
      <c r="E612" s="168">
        <f>E613</f>
        <v>120000</v>
      </c>
      <c r="F612" s="171">
        <f t="shared" ref="F612:AF612" si="238">F613</f>
        <v>120000</v>
      </c>
      <c r="G612" s="170">
        <f t="shared" si="223"/>
        <v>1</v>
      </c>
      <c r="H612" s="171">
        <f t="shared" si="238"/>
        <v>120000</v>
      </c>
      <c r="I612" s="171">
        <f t="shared" si="238"/>
        <v>100000</v>
      </c>
      <c r="J612" s="170">
        <f t="shared" si="224"/>
        <v>0.83333333333333337</v>
      </c>
      <c r="K612" s="112">
        <f t="shared" si="238"/>
        <v>100000</v>
      </c>
      <c r="L612" s="72">
        <f t="shared" si="238"/>
        <v>100000</v>
      </c>
      <c r="M612" s="72">
        <f t="shared" si="238"/>
        <v>0</v>
      </c>
      <c r="N612" s="72">
        <f t="shared" si="238"/>
        <v>0</v>
      </c>
      <c r="O612" s="72"/>
      <c r="P612" s="72">
        <f t="shared" si="238"/>
        <v>0</v>
      </c>
      <c r="Q612" s="72">
        <f t="shared" si="238"/>
        <v>100000</v>
      </c>
      <c r="R612" s="72">
        <f t="shared" si="238"/>
        <v>0</v>
      </c>
      <c r="S612" s="73">
        <f>S613</f>
        <v>0</v>
      </c>
      <c r="T612" s="72">
        <f t="shared" si="238"/>
        <v>0</v>
      </c>
      <c r="U612" s="72">
        <f t="shared" si="238"/>
        <v>0</v>
      </c>
      <c r="V612" s="72">
        <f t="shared" si="238"/>
        <v>0</v>
      </c>
      <c r="W612" s="72">
        <f t="shared" si="238"/>
        <v>0</v>
      </c>
      <c r="X612" s="72">
        <f t="shared" si="238"/>
        <v>0</v>
      </c>
      <c r="Y612" s="72">
        <f t="shared" si="238"/>
        <v>0</v>
      </c>
      <c r="Z612" s="72">
        <f t="shared" si="238"/>
        <v>0</v>
      </c>
      <c r="AA612" s="72">
        <f t="shared" si="238"/>
        <v>0</v>
      </c>
      <c r="AB612" s="72">
        <f t="shared" si="238"/>
        <v>0</v>
      </c>
      <c r="AC612" s="72">
        <f t="shared" si="238"/>
        <v>0</v>
      </c>
      <c r="AD612" s="72">
        <f t="shared" si="238"/>
        <v>0</v>
      </c>
      <c r="AE612" s="72">
        <f t="shared" si="238"/>
        <v>0</v>
      </c>
      <c r="AF612" s="72">
        <f t="shared" si="238"/>
        <v>0</v>
      </c>
    </row>
    <row r="613" spans="1:32" ht="67.5" x14ac:dyDescent="0.2">
      <c r="A613" s="4"/>
      <c r="B613" s="31"/>
      <c r="C613" s="42" t="s">
        <v>329</v>
      </c>
      <c r="D613" s="134" t="s">
        <v>330</v>
      </c>
      <c r="E613" s="32">
        <v>120000</v>
      </c>
      <c r="F613" s="20">
        <v>120000</v>
      </c>
      <c r="G613" s="11">
        <f t="shared" si="223"/>
        <v>1</v>
      </c>
      <c r="H613" s="20">
        <v>120000</v>
      </c>
      <c r="I613" s="20">
        <v>100000</v>
      </c>
      <c r="J613" s="11">
        <f t="shared" si="224"/>
        <v>0.83333333333333337</v>
      </c>
      <c r="K613" s="24">
        <v>100000</v>
      </c>
      <c r="L613" s="19">
        <f>SUM(M613:S613)</f>
        <v>100000</v>
      </c>
      <c r="M613" s="18"/>
      <c r="N613" s="18"/>
      <c r="O613" s="18"/>
      <c r="P613" s="18"/>
      <c r="Q613" s="99">
        <v>100000</v>
      </c>
      <c r="R613" s="18"/>
      <c r="S613" s="18"/>
      <c r="T613" s="18"/>
      <c r="U613" s="19">
        <f>SUM(V613:AE613)</f>
        <v>0</v>
      </c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</row>
    <row r="614" spans="1:32" hidden="1" x14ac:dyDescent="0.2">
      <c r="A614" s="4"/>
      <c r="B614" s="31"/>
      <c r="C614" s="42" t="s">
        <v>140</v>
      </c>
      <c r="D614" s="134" t="s">
        <v>141</v>
      </c>
      <c r="E614" s="32">
        <v>0</v>
      </c>
      <c r="F614" s="20">
        <v>0</v>
      </c>
      <c r="G614" s="11">
        <v>0</v>
      </c>
      <c r="H614" s="20">
        <v>0</v>
      </c>
      <c r="I614" s="20">
        <f t="shared" ref="I614" si="239">K614</f>
        <v>0</v>
      </c>
      <c r="J614" s="11">
        <v>0</v>
      </c>
      <c r="K614" s="24">
        <f t="shared" ref="K614" si="240">L614+T614+U614+AF614</f>
        <v>0</v>
      </c>
      <c r="L614" s="19">
        <f t="shared" ref="L614:L619" si="241">SUM(M614:S614)</f>
        <v>0</v>
      </c>
      <c r="M614" s="19"/>
      <c r="N614" s="19"/>
      <c r="O614" s="19"/>
      <c r="P614" s="19"/>
      <c r="Q614" s="19"/>
      <c r="R614" s="19"/>
      <c r="S614" s="19"/>
      <c r="T614" s="19"/>
      <c r="U614" s="19">
        <f>SUM(V614:AE614)</f>
        <v>0</v>
      </c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</row>
    <row r="615" spans="1:32" ht="15.75" x14ac:dyDescent="0.2">
      <c r="A615" s="3"/>
      <c r="B615" s="165" t="s">
        <v>331</v>
      </c>
      <c r="C615" s="166"/>
      <c r="D615" s="167" t="s">
        <v>10</v>
      </c>
      <c r="E615" s="168">
        <f>E617+E619+E618</f>
        <v>108518.26999999999</v>
      </c>
      <c r="F615" s="168">
        <f>F617+F619+F618</f>
        <v>41982.25</v>
      </c>
      <c r="G615" s="170">
        <f t="shared" si="223"/>
        <v>0.38686803613806231</v>
      </c>
      <c r="H615" s="171">
        <f>H617+H619+H618</f>
        <v>50867.866666666669</v>
      </c>
      <c r="I615" s="171">
        <f>I617+I619+I618+I616</f>
        <v>79924.180000000008</v>
      </c>
      <c r="J615" s="170">
        <f t="shared" si="224"/>
        <v>0.73650436926427243</v>
      </c>
      <c r="K615" s="112" t="e">
        <f>#REF!+K617+K619</f>
        <v>#REF!</v>
      </c>
      <c r="L615" s="72" t="e">
        <f>#REF!+L617+L619</f>
        <v>#REF!</v>
      </c>
      <c r="M615" s="72" t="e">
        <f>#REF!+M617+M619</f>
        <v>#REF!</v>
      </c>
      <c r="N615" s="72" t="e">
        <f>#REF!+N617+N619</f>
        <v>#REF!</v>
      </c>
      <c r="O615" s="72"/>
      <c r="P615" s="72" t="e">
        <f>#REF!+P617+P619</f>
        <v>#REF!</v>
      </c>
      <c r="Q615" s="72" t="e">
        <f>#REF!+Q617+Q619</f>
        <v>#REF!</v>
      </c>
      <c r="R615" s="72" t="e">
        <f>#REF!+R617+R619</f>
        <v>#REF!</v>
      </c>
      <c r="S615" s="73" t="e">
        <f>#REF!+S617+S619</f>
        <v>#REF!</v>
      </c>
      <c r="T615" s="72" t="e">
        <f>#REF!+T617+T619</f>
        <v>#REF!</v>
      </c>
      <c r="U615" s="72" t="e">
        <f>#REF!+U617+U619</f>
        <v>#REF!</v>
      </c>
      <c r="V615" s="72" t="e">
        <f>#REF!+V617+V619</f>
        <v>#REF!</v>
      </c>
      <c r="W615" s="72" t="e">
        <f>#REF!+W617+W619</f>
        <v>#REF!</v>
      </c>
      <c r="X615" s="72" t="e">
        <f>#REF!+X617+X619</f>
        <v>#REF!</v>
      </c>
      <c r="Y615" s="72" t="e">
        <f>#REF!+Y617+Y619</f>
        <v>#REF!</v>
      </c>
      <c r="Z615" s="72" t="e">
        <f>#REF!+Z617+Z619</f>
        <v>#REF!</v>
      </c>
      <c r="AA615" s="72" t="e">
        <f>#REF!+AA617+AA619</f>
        <v>#REF!</v>
      </c>
      <c r="AB615" s="72" t="e">
        <f>#REF!+AB617+AB619</f>
        <v>#REF!</v>
      </c>
      <c r="AC615" s="72" t="e">
        <f>#REF!+AC617+AC619</f>
        <v>#REF!</v>
      </c>
      <c r="AD615" s="72" t="e">
        <f>#REF!+AD617+AD619</f>
        <v>#REF!</v>
      </c>
      <c r="AE615" s="72" t="e">
        <f>#REF!+AE617+AE619</f>
        <v>#REF!</v>
      </c>
      <c r="AF615" s="72" t="e">
        <f>#REF!+AF617+AF619</f>
        <v>#REF!</v>
      </c>
    </row>
    <row r="616" spans="1:32" ht="15" x14ac:dyDescent="0.2">
      <c r="A616" s="3"/>
      <c r="B616" s="185"/>
      <c r="C616" s="137" t="s">
        <v>128</v>
      </c>
      <c r="D616" s="144" t="s">
        <v>129</v>
      </c>
      <c r="E616" s="145">
        <v>0</v>
      </c>
      <c r="F616" s="145">
        <v>0</v>
      </c>
      <c r="G616" s="14">
        <v>0</v>
      </c>
      <c r="H616" s="45">
        <f>F616/3*4</f>
        <v>0</v>
      </c>
      <c r="I616" s="45">
        <v>1500</v>
      </c>
      <c r="J616" s="14">
        <v>0</v>
      </c>
      <c r="K616" s="150"/>
      <c r="L616" s="151"/>
      <c r="M616" s="151"/>
      <c r="N616" s="151"/>
      <c r="O616" s="151"/>
      <c r="P616" s="151"/>
      <c r="Q616" s="151"/>
      <c r="R616" s="151"/>
      <c r="S616" s="152"/>
      <c r="T616" s="151"/>
      <c r="U616" s="151"/>
      <c r="V616" s="151"/>
      <c r="W616" s="151"/>
      <c r="X616" s="151"/>
      <c r="Y616" s="151"/>
      <c r="Z616" s="151"/>
      <c r="AA616" s="151"/>
      <c r="AB616" s="151"/>
      <c r="AC616" s="151"/>
      <c r="AD616" s="151"/>
      <c r="AE616" s="151"/>
      <c r="AF616" s="151"/>
    </row>
    <row r="617" spans="1:32" x14ac:dyDescent="0.2">
      <c r="A617" s="4"/>
      <c r="B617" s="31"/>
      <c r="C617" s="42" t="s">
        <v>122</v>
      </c>
      <c r="D617" s="134" t="s">
        <v>123</v>
      </c>
      <c r="E617" s="32">
        <v>59884.95</v>
      </c>
      <c r="F617" s="20">
        <v>30081.35</v>
      </c>
      <c r="G617" s="11">
        <f t="shared" si="223"/>
        <v>0.50231903007349932</v>
      </c>
      <c r="H617" s="45">
        <v>35000</v>
      </c>
      <c r="I617" s="20">
        <v>36478.69</v>
      </c>
      <c r="J617" s="11">
        <f t="shared" si="224"/>
        <v>0.60914620451382195</v>
      </c>
      <c r="K617" s="24">
        <f t="shared" ref="K617:K619" si="242">L617+T617+U617+AF617</f>
        <v>65212.38</v>
      </c>
      <c r="L617" s="19">
        <f t="shared" si="241"/>
        <v>65212.38</v>
      </c>
      <c r="M617" s="19"/>
      <c r="N617" s="19"/>
      <c r="O617" s="19"/>
      <c r="P617" s="19"/>
      <c r="Q617" s="19"/>
      <c r="R617" s="19"/>
      <c r="S617" s="55">
        <v>65212.38</v>
      </c>
      <c r="T617" s="19"/>
      <c r="U617" s="19">
        <f>SUM(V617:AE617)</f>
        <v>0</v>
      </c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</row>
    <row r="618" spans="1:32" x14ac:dyDescent="0.2">
      <c r="A618" s="4"/>
      <c r="B618" s="31"/>
      <c r="C618" s="33" t="s">
        <v>239</v>
      </c>
      <c r="D618" s="34" t="s">
        <v>240</v>
      </c>
      <c r="E618" s="32">
        <v>0</v>
      </c>
      <c r="F618" s="20">
        <v>0</v>
      </c>
      <c r="G618" s="11">
        <v>0</v>
      </c>
      <c r="H618" s="45">
        <f t="shared" ref="H618:H619" si="243">F618/3*4</f>
        <v>0</v>
      </c>
      <c r="I618" s="20">
        <v>16787.490000000002</v>
      </c>
      <c r="J618" s="11">
        <v>0</v>
      </c>
      <c r="K618" s="24"/>
      <c r="L618" s="19"/>
      <c r="M618" s="19"/>
      <c r="N618" s="19"/>
      <c r="O618" s="19"/>
      <c r="P618" s="19"/>
      <c r="Q618" s="19"/>
      <c r="R618" s="19"/>
      <c r="S618" s="55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</row>
    <row r="619" spans="1:32" x14ac:dyDescent="0.2">
      <c r="A619" s="4"/>
      <c r="B619" s="31"/>
      <c r="C619" s="42" t="s">
        <v>124</v>
      </c>
      <c r="D619" s="134" t="s">
        <v>125</v>
      </c>
      <c r="E619" s="32">
        <v>48633.32</v>
      </c>
      <c r="F619" s="20">
        <v>11900.9</v>
      </c>
      <c r="G619" s="11">
        <f t="shared" si="223"/>
        <v>0.24470671547819478</v>
      </c>
      <c r="H619" s="45">
        <f t="shared" si="243"/>
        <v>15867.866666666667</v>
      </c>
      <c r="I619" s="20">
        <v>25158</v>
      </c>
      <c r="J619" s="11">
        <f t="shared" si="224"/>
        <v>0.51729966204240219</v>
      </c>
      <c r="K619" s="24">
        <f t="shared" si="242"/>
        <v>49118.67</v>
      </c>
      <c r="L619" s="19">
        <f t="shared" si="241"/>
        <v>49118.67</v>
      </c>
      <c r="M619" s="19"/>
      <c r="N619" s="19"/>
      <c r="O619" s="19"/>
      <c r="P619" s="19"/>
      <c r="Q619" s="19"/>
      <c r="R619" s="19"/>
      <c r="S619" s="55">
        <v>49118.67</v>
      </c>
      <c r="T619" s="19"/>
      <c r="U619" s="19">
        <f>SUM(V619:AE619)</f>
        <v>0</v>
      </c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</row>
    <row r="620" spans="1:32" ht="22.5" customHeight="1" x14ac:dyDescent="0.2">
      <c r="A620" s="155" t="s">
        <v>103</v>
      </c>
      <c r="B620" s="156"/>
      <c r="C620" s="157"/>
      <c r="D620" s="158" t="s">
        <v>104</v>
      </c>
      <c r="E620" s="159">
        <f>E621+E635</f>
        <v>973153.2</v>
      </c>
      <c r="F620" s="135">
        <f>F621+F635</f>
        <v>618359.32999999996</v>
      </c>
      <c r="G620" s="87">
        <f t="shared" si="223"/>
        <v>0.63541827740996992</v>
      </c>
      <c r="H620" s="135">
        <f>H621+H635</f>
        <v>746455.43333333335</v>
      </c>
      <c r="I620" s="135">
        <f>I621+I635</f>
        <v>784620.24</v>
      </c>
      <c r="J620" s="87">
        <f t="shared" si="224"/>
        <v>0.80626589934657777</v>
      </c>
      <c r="K620" s="108" t="e">
        <f>K621+K635</f>
        <v>#REF!</v>
      </c>
      <c r="L620" s="12" t="e">
        <f>L621+L635</f>
        <v>#REF!</v>
      </c>
      <c r="M620" s="12" t="e">
        <f>M621+M635</f>
        <v>#REF!</v>
      </c>
      <c r="N620" s="12" t="e">
        <f>N621+N635</f>
        <v>#REF!</v>
      </c>
      <c r="O620" s="12"/>
      <c r="P620" s="12" t="e">
        <f t="shared" ref="P620:AF620" si="244">P621+P635</f>
        <v>#REF!</v>
      </c>
      <c r="Q620" s="12" t="e">
        <f t="shared" si="244"/>
        <v>#REF!</v>
      </c>
      <c r="R620" s="12" t="e">
        <f t="shared" si="244"/>
        <v>#REF!</v>
      </c>
      <c r="S620" s="16" t="e">
        <f t="shared" si="244"/>
        <v>#REF!</v>
      </c>
      <c r="T620" s="12" t="e">
        <f t="shared" si="244"/>
        <v>#REF!</v>
      </c>
      <c r="U620" s="12" t="e">
        <f t="shared" si="244"/>
        <v>#REF!</v>
      </c>
      <c r="V620" s="12" t="e">
        <f t="shared" si="244"/>
        <v>#REF!</v>
      </c>
      <c r="W620" s="12" t="e">
        <f t="shared" si="244"/>
        <v>#REF!</v>
      </c>
      <c r="X620" s="12" t="e">
        <f t="shared" si="244"/>
        <v>#REF!</v>
      </c>
      <c r="Y620" s="12" t="e">
        <f t="shared" si="244"/>
        <v>#REF!</v>
      </c>
      <c r="Z620" s="12" t="e">
        <f t="shared" si="244"/>
        <v>#REF!</v>
      </c>
      <c r="AA620" s="12" t="e">
        <f t="shared" si="244"/>
        <v>#REF!</v>
      </c>
      <c r="AB620" s="12" t="e">
        <f t="shared" si="244"/>
        <v>#REF!</v>
      </c>
      <c r="AC620" s="12" t="e">
        <f t="shared" si="244"/>
        <v>#REF!</v>
      </c>
      <c r="AD620" s="12" t="e">
        <f t="shared" si="244"/>
        <v>#REF!</v>
      </c>
      <c r="AE620" s="12" t="e">
        <f t="shared" si="244"/>
        <v>#REF!</v>
      </c>
      <c r="AF620" s="12" t="e">
        <f t="shared" si="244"/>
        <v>#REF!</v>
      </c>
    </row>
    <row r="621" spans="1:32" ht="15.75" x14ac:dyDescent="0.2">
      <c r="A621" s="3"/>
      <c r="B621" s="165" t="s">
        <v>105</v>
      </c>
      <c r="C621" s="166"/>
      <c r="D621" s="167" t="s">
        <v>106</v>
      </c>
      <c r="E621" s="168">
        <f>E624+E625+E626+E627+E628+E629+E630+E631+E632+E633+E634+E622</f>
        <v>631680.19999999995</v>
      </c>
      <c r="F621" s="168">
        <f>F624+F625+F626+F627+F628+F629+F630+F631+F632+F633+F634+F622</f>
        <v>385832.20999999996</v>
      </c>
      <c r="G621" s="176">
        <f>F621/E621</f>
        <v>0.61080307725333161</v>
      </c>
      <c r="H621" s="171">
        <f>H624+H625+H626+H627+H628+H629+H630+H631+H632+H633+H634+H622+H623</f>
        <v>497847.26666666666</v>
      </c>
      <c r="I621" s="171">
        <f>I624+I625+I626+I627+I628+I629+I630+I631+I632+I633+I634+I622+I623</f>
        <v>526275.24</v>
      </c>
      <c r="J621" s="169">
        <f>I621/E621</f>
        <v>0.83313556448342063</v>
      </c>
      <c r="K621" s="127" t="e">
        <f>K624+K625+K626+K627+K628+K629+#REF!+K630+K631+K632+K633+K634</f>
        <v>#REF!</v>
      </c>
      <c r="L621" s="72" t="e">
        <f>L624+L625+L626+L627+L628+L629+#REF!+L630+L631+L632+L633+L634</f>
        <v>#REF!</v>
      </c>
      <c r="M621" s="72" t="e">
        <f>M624+M625+M626+M627+M628+M629+#REF!+M630+M631+M632+M633+M634</f>
        <v>#REF!</v>
      </c>
      <c r="N621" s="72" t="e">
        <f>N624+N625+N626+N627+N628+N629+#REF!+N630+N631+N632+N633+N634</f>
        <v>#REF!</v>
      </c>
      <c r="O621" s="72"/>
      <c r="P621" s="72" t="e">
        <f>P624+P625+P626+P627+P628+P629+#REF!+P630+P631+P632+P633+P634</f>
        <v>#REF!</v>
      </c>
      <c r="Q621" s="72" t="e">
        <f>Q624+Q625+Q626+Q627+Q628+Q629+#REF!+Q630+Q631+Q632+Q633+Q634</f>
        <v>#REF!</v>
      </c>
      <c r="R621" s="72" t="e">
        <f>R624+R625+R626+R627+R628+R629+#REF!+R630+R631+R632+R633+R634</f>
        <v>#REF!</v>
      </c>
      <c r="S621" s="72" t="e">
        <f>S624+S625+S626+S627+S628+S629+#REF!+S630+S631+S632+S633+S634</f>
        <v>#REF!</v>
      </c>
      <c r="T621" s="72" t="e">
        <f>T624+T625+T626+T627+T628+T629+#REF!+T630+T631+T632+T633+T634</f>
        <v>#REF!</v>
      </c>
      <c r="U621" s="72" t="e">
        <f>U624+U625+U626+U627+U628+U629+#REF!+U630+U631+U632+U633+U634</f>
        <v>#REF!</v>
      </c>
      <c r="V621" s="72" t="e">
        <f>V624+V625+V626+V627+V628+V629+#REF!+V630+V631+V632+V633+V634</f>
        <v>#REF!</v>
      </c>
      <c r="W621" s="72" t="e">
        <f>W624+W625+W626+W627+W628+W629+#REF!+W630+W631+W632+W633+W634</f>
        <v>#REF!</v>
      </c>
      <c r="X621" s="72" t="e">
        <f>X624+X625+X626+X627+X628+X629+#REF!+X630+X631+X632+X633+X634</f>
        <v>#REF!</v>
      </c>
      <c r="Y621" s="72" t="e">
        <f>Y624+Y625+Y626+Y627+Y628+Y629+#REF!+Y630+Y631+Y632+Y633+Y634</f>
        <v>#REF!</v>
      </c>
      <c r="Z621" s="72" t="e">
        <f>Z624+Z625+Z626+Z627+Z628+Z629+#REF!+Z630+Z631+Z632+Z633+Z634</f>
        <v>#REF!</v>
      </c>
      <c r="AA621" s="72" t="e">
        <f>AA624+AA625+AA626+AA627+AA628+AA629+#REF!+AA630+AA631+AA632+AA633+AA634</f>
        <v>#REF!</v>
      </c>
      <c r="AB621" s="72" t="e">
        <f>AB624+AB625+AB626+AB627+AB628+AB629+#REF!+AB630+AB631+AB632+AB633+AB634</f>
        <v>#REF!</v>
      </c>
      <c r="AC621" s="72" t="e">
        <f>AC624+AC625+AC626+AC627+AC628+AC629+#REF!+AC630+AC631+AC632+AC633+AC634</f>
        <v>#REF!</v>
      </c>
      <c r="AD621" s="72" t="e">
        <f>AD624+AD625+AD626+AD627+AD628+AD629+#REF!+AD630+AD631+AD632+AD633+AD634</f>
        <v>#REF!</v>
      </c>
      <c r="AE621" s="72" t="e">
        <f>AE624+AE625+AE626+AE627+AE628+AE629+#REF!+AE630+AE631+AE632+AE633+AE634</f>
        <v>#REF!</v>
      </c>
      <c r="AF621" s="72" t="e">
        <f>AF624+AF625+AF626+AF627+AF628+AF629+#REF!+AF630+AF631+AF632+AF633+AF634</f>
        <v>#REF!</v>
      </c>
    </row>
    <row r="622" spans="1:32" ht="45" x14ac:dyDescent="0.2">
      <c r="A622" s="3"/>
      <c r="B622" s="143"/>
      <c r="C622" s="137" t="s">
        <v>378</v>
      </c>
      <c r="D622" s="144" t="s">
        <v>387</v>
      </c>
      <c r="E622" s="145">
        <v>250000</v>
      </c>
      <c r="F622" s="45">
        <v>250000</v>
      </c>
      <c r="G622" s="46">
        <f>F622/E622</f>
        <v>1</v>
      </c>
      <c r="H622" s="45">
        <v>250000</v>
      </c>
      <c r="I622" s="45">
        <v>0</v>
      </c>
      <c r="J622" s="154">
        <v>0</v>
      </c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  <c r="AC622" s="151"/>
      <c r="AD622" s="151"/>
      <c r="AE622" s="151"/>
      <c r="AF622" s="151"/>
    </row>
    <row r="623" spans="1:32" ht="22.5" x14ac:dyDescent="0.2">
      <c r="A623" s="3"/>
      <c r="B623" s="143"/>
      <c r="C623" s="137" t="s">
        <v>153</v>
      </c>
      <c r="D623" s="144" t="s">
        <v>154</v>
      </c>
      <c r="E623" s="145">
        <v>0</v>
      </c>
      <c r="F623" s="45">
        <v>0</v>
      </c>
      <c r="G623" s="46">
        <v>0</v>
      </c>
      <c r="H623" s="45">
        <f t="shared" ref="H623:H630" si="245">F623/3*4</f>
        <v>0</v>
      </c>
      <c r="I623" s="45">
        <v>200000</v>
      </c>
      <c r="J623" s="154">
        <v>0</v>
      </c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  <c r="AC623" s="151"/>
      <c r="AD623" s="151"/>
      <c r="AE623" s="151"/>
      <c r="AF623" s="151"/>
    </row>
    <row r="624" spans="1:32" x14ac:dyDescent="0.2">
      <c r="A624" s="4"/>
      <c r="B624" s="31"/>
      <c r="C624" s="42" t="s">
        <v>118</v>
      </c>
      <c r="D624" s="134" t="s">
        <v>119</v>
      </c>
      <c r="E624" s="32">
        <v>14700</v>
      </c>
      <c r="F624" s="20">
        <v>6490.54</v>
      </c>
      <c r="G624" s="11">
        <f t="shared" si="223"/>
        <v>0.44153333333333333</v>
      </c>
      <c r="H624" s="45">
        <f t="shared" si="245"/>
        <v>8654.0533333333333</v>
      </c>
      <c r="I624" s="20">
        <v>15552</v>
      </c>
      <c r="J624" s="11">
        <f t="shared" si="224"/>
        <v>1.0579591836734694</v>
      </c>
      <c r="K624" s="24">
        <f>L624+T624+U624+AF624</f>
        <v>14700</v>
      </c>
      <c r="L624" s="19">
        <f>SUM(M624:S624)</f>
        <v>0</v>
      </c>
      <c r="M624" s="19"/>
      <c r="N624" s="19"/>
      <c r="O624" s="19"/>
      <c r="P624" s="19"/>
      <c r="Q624" s="19"/>
      <c r="R624" s="19"/>
      <c r="S624" s="19"/>
      <c r="T624" s="19"/>
      <c r="U624" s="19">
        <f t="shared" ref="U624:U634" si="246">SUM(V624:AF624)</f>
        <v>14700</v>
      </c>
      <c r="V624" s="19"/>
      <c r="W624" s="55">
        <v>14700</v>
      </c>
      <c r="X624" s="19"/>
      <c r="Y624" s="19"/>
      <c r="Z624" s="19"/>
      <c r="AA624" s="19"/>
      <c r="AB624" s="19"/>
      <c r="AC624" s="19"/>
      <c r="AD624" s="19"/>
      <c r="AE624" s="19"/>
      <c r="AF624" s="19"/>
    </row>
    <row r="625" spans="1:32" x14ac:dyDescent="0.2">
      <c r="A625" s="4"/>
      <c r="B625" s="31"/>
      <c r="C625" s="42" t="s">
        <v>120</v>
      </c>
      <c r="D625" s="134" t="s">
        <v>121</v>
      </c>
      <c r="E625" s="32">
        <v>2100</v>
      </c>
      <c r="F625" s="20">
        <v>922.79</v>
      </c>
      <c r="G625" s="11">
        <f t="shared" si="223"/>
        <v>0.43942380952380949</v>
      </c>
      <c r="H625" s="45">
        <f t="shared" si="245"/>
        <v>1230.3866666666665</v>
      </c>
      <c r="I625" s="20">
        <v>2205</v>
      </c>
      <c r="J625" s="11">
        <f t="shared" si="224"/>
        <v>1.05</v>
      </c>
      <c r="K625" s="24">
        <f t="shared" ref="K625:K634" si="247">L625+T625+U625+AF625</f>
        <v>2100</v>
      </c>
      <c r="L625" s="19">
        <f t="shared" ref="L625:L634" si="248">SUM(M625:S625)</f>
        <v>0</v>
      </c>
      <c r="M625" s="19"/>
      <c r="N625" s="19"/>
      <c r="O625" s="19"/>
      <c r="P625" s="19"/>
      <c r="Q625" s="19"/>
      <c r="R625" s="19"/>
      <c r="S625" s="19"/>
      <c r="T625" s="19"/>
      <c r="U625" s="19">
        <f t="shared" si="246"/>
        <v>2100</v>
      </c>
      <c r="V625" s="19"/>
      <c r="W625" s="55">
        <v>2100</v>
      </c>
      <c r="X625" s="19"/>
      <c r="Y625" s="19"/>
      <c r="Z625" s="19"/>
      <c r="AA625" s="19"/>
      <c r="AB625" s="19"/>
      <c r="AC625" s="19"/>
      <c r="AD625" s="19"/>
      <c r="AE625" s="19"/>
      <c r="AF625" s="19"/>
    </row>
    <row r="626" spans="1:32" x14ac:dyDescent="0.2">
      <c r="A626" s="4"/>
      <c r="B626" s="31"/>
      <c r="C626" s="42" t="s">
        <v>128</v>
      </c>
      <c r="D626" s="134" t="s">
        <v>129</v>
      </c>
      <c r="E626" s="32">
        <v>88700</v>
      </c>
      <c r="F626" s="20">
        <v>45433.09</v>
      </c>
      <c r="G626" s="11">
        <f t="shared" si="223"/>
        <v>0.51221071025930098</v>
      </c>
      <c r="H626" s="45">
        <v>88700</v>
      </c>
      <c r="I626" s="20">
        <v>94900</v>
      </c>
      <c r="J626" s="11">
        <f t="shared" si="224"/>
        <v>1.0698985343855694</v>
      </c>
      <c r="K626" s="24">
        <f t="shared" si="247"/>
        <v>88700</v>
      </c>
      <c r="L626" s="19">
        <f t="shared" si="248"/>
        <v>3200</v>
      </c>
      <c r="M626" s="19"/>
      <c r="N626" s="19"/>
      <c r="O626" s="19"/>
      <c r="P626" s="19"/>
      <c r="Q626" s="19"/>
      <c r="R626" s="19"/>
      <c r="S626" s="55">
        <v>3200</v>
      </c>
      <c r="T626" s="19"/>
      <c r="U626" s="19">
        <f t="shared" si="246"/>
        <v>85500</v>
      </c>
      <c r="V626" s="19"/>
      <c r="W626" s="55">
        <v>85500</v>
      </c>
      <c r="X626" s="19"/>
      <c r="Y626" s="19"/>
      <c r="Z626" s="19"/>
      <c r="AA626" s="19"/>
      <c r="AB626" s="19"/>
      <c r="AC626" s="19"/>
      <c r="AD626" s="19"/>
      <c r="AE626" s="19"/>
      <c r="AF626" s="19"/>
    </row>
    <row r="627" spans="1:32" x14ac:dyDescent="0.2">
      <c r="A627" s="4"/>
      <c r="B627" s="31"/>
      <c r="C627" s="42" t="s">
        <v>122</v>
      </c>
      <c r="D627" s="134" t="s">
        <v>123</v>
      </c>
      <c r="E627" s="32">
        <v>64500</v>
      </c>
      <c r="F627" s="20">
        <v>22115.21</v>
      </c>
      <c r="G627" s="11">
        <f t="shared" si="223"/>
        <v>0.34287147286821706</v>
      </c>
      <c r="H627" s="45">
        <v>64500</v>
      </c>
      <c r="I627" s="20">
        <v>53900</v>
      </c>
      <c r="J627" s="11">
        <f t="shared" si="224"/>
        <v>0.83565891472868215</v>
      </c>
      <c r="K627" s="24">
        <f t="shared" si="247"/>
        <v>61459.65</v>
      </c>
      <c r="L627" s="19">
        <f t="shared" si="248"/>
        <v>46459.65</v>
      </c>
      <c r="M627" s="19"/>
      <c r="N627" s="19"/>
      <c r="O627" s="19"/>
      <c r="P627" s="19"/>
      <c r="Q627" s="19"/>
      <c r="R627" s="19"/>
      <c r="S627" s="55">
        <v>46459.65</v>
      </c>
      <c r="T627" s="19"/>
      <c r="U627" s="19">
        <f t="shared" si="246"/>
        <v>15000</v>
      </c>
      <c r="V627" s="19"/>
      <c r="W627" s="55">
        <v>15000</v>
      </c>
      <c r="X627" s="19"/>
      <c r="Y627" s="19"/>
      <c r="Z627" s="19"/>
      <c r="AA627" s="19"/>
      <c r="AB627" s="19"/>
      <c r="AC627" s="19"/>
      <c r="AD627" s="19"/>
      <c r="AE627" s="19"/>
      <c r="AF627" s="19"/>
    </row>
    <row r="628" spans="1:32" x14ac:dyDescent="0.2">
      <c r="A628" s="4"/>
      <c r="B628" s="31"/>
      <c r="C628" s="42" t="s">
        <v>130</v>
      </c>
      <c r="D628" s="134" t="s">
        <v>131</v>
      </c>
      <c r="E628" s="32">
        <v>21500</v>
      </c>
      <c r="F628" s="20">
        <v>7327.58</v>
      </c>
      <c r="G628" s="11">
        <f t="shared" si="223"/>
        <v>0.34081767441860467</v>
      </c>
      <c r="H628" s="45">
        <f t="shared" si="245"/>
        <v>9770.1066666666666</v>
      </c>
      <c r="I628" s="20">
        <v>40000</v>
      </c>
      <c r="J628" s="11">
        <f t="shared" si="224"/>
        <v>1.8604651162790697</v>
      </c>
      <c r="K628" s="24">
        <f t="shared" si="247"/>
        <v>21500</v>
      </c>
      <c r="L628" s="19">
        <f t="shared" si="248"/>
        <v>7000</v>
      </c>
      <c r="M628" s="19"/>
      <c r="N628" s="55">
        <v>7000</v>
      </c>
      <c r="O628" s="55"/>
      <c r="P628" s="19"/>
      <c r="Q628" s="19"/>
      <c r="R628" s="19"/>
      <c r="S628" s="19"/>
      <c r="T628" s="19"/>
      <c r="U628" s="19">
        <f t="shared" si="246"/>
        <v>14500</v>
      </c>
      <c r="V628" s="19"/>
      <c r="W628" s="55">
        <v>14500</v>
      </c>
      <c r="X628" s="19"/>
      <c r="Y628" s="19"/>
      <c r="Z628" s="19"/>
      <c r="AA628" s="19"/>
      <c r="AB628" s="19"/>
      <c r="AC628" s="19"/>
      <c r="AD628" s="19"/>
      <c r="AE628" s="19"/>
      <c r="AF628" s="19"/>
    </row>
    <row r="629" spans="1:32" x14ac:dyDescent="0.2">
      <c r="A629" s="4"/>
      <c r="B629" s="31"/>
      <c r="C629" s="42" t="s">
        <v>140</v>
      </c>
      <c r="D629" s="134" t="s">
        <v>141</v>
      </c>
      <c r="E629" s="32">
        <v>5000</v>
      </c>
      <c r="F629" s="20">
        <v>0</v>
      </c>
      <c r="G629" s="11">
        <f t="shared" si="223"/>
        <v>0</v>
      </c>
      <c r="H629" s="45">
        <f t="shared" si="245"/>
        <v>0</v>
      </c>
      <c r="I629" s="20">
        <v>5000</v>
      </c>
      <c r="J629" s="11">
        <f t="shared" si="224"/>
        <v>1</v>
      </c>
      <c r="K629" s="24">
        <f t="shared" si="247"/>
        <v>5000</v>
      </c>
      <c r="L629" s="19">
        <f t="shared" si="248"/>
        <v>5000</v>
      </c>
      <c r="M629" s="19"/>
      <c r="N629" s="55">
        <v>5000</v>
      </c>
      <c r="O629" s="55"/>
      <c r="P629" s="19"/>
      <c r="Q629" s="19"/>
      <c r="R629" s="19"/>
      <c r="S629" s="19"/>
      <c r="T629" s="19"/>
      <c r="U629" s="19">
        <f t="shared" si="246"/>
        <v>0</v>
      </c>
      <c r="V629" s="19"/>
      <c r="W629" s="19">
        <v>0</v>
      </c>
      <c r="X629" s="19"/>
      <c r="Y629" s="19"/>
      <c r="Z629" s="19"/>
      <c r="AA629" s="19"/>
      <c r="AB629" s="19"/>
      <c r="AC629" s="19"/>
      <c r="AD629" s="19"/>
      <c r="AE629" s="19"/>
      <c r="AF629" s="19"/>
    </row>
    <row r="630" spans="1:32" x14ac:dyDescent="0.2">
      <c r="A630" s="4"/>
      <c r="B630" s="31"/>
      <c r="C630" s="42" t="s">
        <v>124</v>
      </c>
      <c r="D630" s="134" t="s">
        <v>125</v>
      </c>
      <c r="E630" s="32">
        <v>67300</v>
      </c>
      <c r="F630" s="20">
        <v>37494.54</v>
      </c>
      <c r="G630" s="11">
        <f t="shared" si="223"/>
        <v>0.55712540861812776</v>
      </c>
      <c r="H630" s="45">
        <f t="shared" si="245"/>
        <v>49992.72</v>
      </c>
      <c r="I630" s="20">
        <v>84718.24</v>
      </c>
      <c r="J630" s="11">
        <f t="shared" si="224"/>
        <v>1.2588148588410104</v>
      </c>
      <c r="K630" s="24">
        <f t="shared" si="247"/>
        <v>47300</v>
      </c>
      <c r="L630" s="19">
        <f t="shared" si="248"/>
        <v>34800</v>
      </c>
      <c r="M630" s="19"/>
      <c r="N630" s="101">
        <v>30000</v>
      </c>
      <c r="O630" s="55"/>
      <c r="P630" s="19"/>
      <c r="Q630" s="19"/>
      <c r="R630" s="19"/>
      <c r="S630" s="55">
        <v>4800</v>
      </c>
      <c r="T630" s="19"/>
      <c r="U630" s="19">
        <f t="shared" si="246"/>
        <v>12500</v>
      </c>
      <c r="V630" s="19"/>
      <c r="W630" s="55">
        <v>12500</v>
      </c>
      <c r="X630" s="19"/>
      <c r="Y630" s="19"/>
      <c r="Z630" s="19"/>
      <c r="AA630" s="19"/>
      <c r="AB630" s="19"/>
      <c r="AC630" s="19"/>
      <c r="AD630" s="19"/>
      <c r="AE630" s="19"/>
      <c r="AF630" s="19"/>
    </row>
    <row r="631" spans="1:32" ht="22.5" x14ac:dyDescent="0.2">
      <c r="A631" s="4"/>
      <c r="B631" s="31"/>
      <c r="C631" s="42" t="s">
        <v>142</v>
      </c>
      <c r="D631" s="134" t="s">
        <v>143</v>
      </c>
      <c r="E631" s="32">
        <v>117880.2</v>
      </c>
      <c r="F631" s="20">
        <v>16048.46</v>
      </c>
      <c r="G631" s="11">
        <f t="shared" si="223"/>
        <v>0.13614211716641131</v>
      </c>
      <c r="H631" s="45">
        <v>25000</v>
      </c>
      <c r="I631" s="20">
        <v>30000</v>
      </c>
      <c r="J631" s="11">
        <f t="shared" si="224"/>
        <v>0.25449566593880907</v>
      </c>
      <c r="K631" s="24">
        <f t="shared" si="247"/>
        <v>17107.77</v>
      </c>
      <c r="L631" s="19">
        <f t="shared" si="248"/>
        <v>17107.77</v>
      </c>
      <c r="M631" s="19"/>
      <c r="N631" s="106">
        <v>0</v>
      </c>
      <c r="O631" s="55"/>
      <c r="P631" s="19"/>
      <c r="Q631" s="19"/>
      <c r="R631" s="19"/>
      <c r="S631" s="55">
        <v>17107.77</v>
      </c>
      <c r="T631" s="19"/>
      <c r="U631" s="19">
        <f t="shared" si="246"/>
        <v>0</v>
      </c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</row>
    <row r="632" spans="1:32" ht="22.5" hidden="1" x14ac:dyDescent="0.2">
      <c r="A632" s="4"/>
      <c r="B632" s="31"/>
      <c r="C632" s="42" t="s">
        <v>332</v>
      </c>
      <c r="D632" s="134" t="s">
        <v>143</v>
      </c>
      <c r="E632" s="32"/>
      <c r="F632" s="20"/>
      <c r="G632" s="11" t="e">
        <f t="shared" si="223"/>
        <v>#DIV/0!</v>
      </c>
      <c r="H632" s="20"/>
      <c r="I632" s="40"/>
      <c r="J632" s="11" t="e">
        <f t="shared" si="224"/>
        <v>#DIV/0!</v>
      </c>
      <c r="K632" s="24">
        <f t="shared" si="247"/>
        <v>0</v>
      </c>
      <c r="L632" s="19">
        <f t="shared" si="248"/>
        <v>0</v>
      </c>
      <c r="M632" s="19"/>
      <c r="N632" s="19"/>
      <c r="O632" s="19"/>
      <c r="P632" s="19"/>
      <c r="Q632" s="19"/>
      <c r="R632" s="19"/>
      <c r="S632" s="19"/>
      <c r="T632" s="19"/>
      <c r="U632" s="19">
        <f t="shared" si="246"/>
        <v>0</v>
      </c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</row>
    <row r="633" spans="1:32" ht="22.5" hidden="1" x14ac:dyDescent="0.2">
      <c r="A633" s="4"/>
      <c r="B633" s="31"/>
      <c r="C633" s="42" t="s">
        <v>326</v>
      </c>
      <c r="D633" s="134" t="s">
        <v>143</v>
      </c>
      <c r="E633" s="32"/>
      <c r="F633" s="20"/>
      <c r="G633" s="11" t="e">
        <f t="shared" si="223"/>
        <v>#DIV/0!</v>
      </c>
      <c r="H633" s="20"/>
      <c r="I633" s="40"/>
      <c r="J633" s="11" t="e">
        <f t="shared" si="224"/>
        <v>#DIV/0!</v>
      </c>
      <c r="K633" s="24">
        <f t="shared" si="247"/>
        <v>0</v>
      </c>
      <c r="L633" s="19">
        <f t="shared" si="248"/>
        <v>0</v>
      </c>
      <c r="M633" s="19"/>
      <c r="N633" s="19"/>
      <c r="O633" s="19"/>
      <c r="P633" s="19"/>
      <c r="Q633" s="19"/>
      <c r="R633" s="19"/>
      <c r="S633" s="19"/>
      <c r="T633" s="19"/>
      <c r="U633" s="19">
        <f t="shared" si="246"/>
        <v>0</v>
      </c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</row>
    <row r="634" spans="1:32" ht="22.5" hidden="1" x14ac:dyDescent="0.2">
      <c r="A634" s="4"/>
      <c r="B634" s="31"/>
      <c r="C634" s="42" t="s">
        <v>149</v>
      </c>
      <c r="D634" s="134" t="s">
        <v>150</v>
      </c>
      <c r="E634" s="32">
        <v>0</v>
      </c>
      <c r="F634" s="20">
        <v>0</v>
      </c>
      <c r="G634" s="11">
        <v>0</v>
      </c>
      <c r="H634" s="20">
        <v>0</v>
      </c>
      <c r="I634" s="40">
        <f t="shared" ref="I634" si="249">K634</f>
        <v>0</v>
      </c>
      <c r="J634" s="11">
        <v>0</v>
      </c>
      <c r="K634" s="24">
        <f t="shared" si="247"/>
        <v>0</v>
      </c>
      <c r="L634" s="19">
        <f t="shared" si="248"/>
        <v>0</v>
      </c>
      <c r="M634" s="19"/>
      <c r="N634" s="19"/>
      <c r="O634" s="19"/>
      <c r="P634" s="19"/>
      <c r="Q634" s="19"/>
      <c r="R634" s="19"/>
      <c r="S634" s="19"/>
      <c r="T634" s="19"/>
      <c r="U634" s="19">
        <f t="shared" si="246"/>
        <v>0</v>
      </c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</row>
    <row r="635" spans="1:32" ht="15.75" x14ac:dyDescent="0.2">
      <c r="A635" s="3"/>
      <c r="B635" s="165" t="s">
        <v>333</v>
      </c>
      <c r="C635" s="166"/>
      <c r="D635" s="167" t="s">
        <v>10</v>
      </c>
      <c r="E635" s="168">
        <f>E636+E637+E638+E639+E640+E641+E642</f>
        <v>341473</v>
      </c>
      <c r="F635" s="171">
        <f t="shared" ref="F635:AF635" si="250">F636+F637+F638+F639+F640+F641+F642</f>
        <v>232527.12</v>
      </c>
      <c r="G635" s="170">
        <f t="shared" si="223"/>
        <v>0.68095316467187739</v>
      </c>
      <c r="H635" s="171">
        <f>H636+H637+H638+H639+H640+H641+H642</f>
        <v>248608.16666666666</v>
      </c>
      <c r="I635" s="171">
        <f t="shared" si="250"/>
        <v>258345</v>
      </c>
      <c r="J635" s="170">
        <f t="shared" si="224"/>
        <v>0.75656054797890315</v>
      </c>
      <c r="K635" s="112">
        <f t="shared" si="250"/>
        <v>380973</v>
      </c>
      <c r="L635" s="72">
        <f t="shared" si="250"/>
        <v>380973</v>
      </c>
      <c r="M635" s="72">
        <f t="shared" si="250"/>
        <v>0</v>
      </c>
      <c r="N635" s="72">
        <f t="shared" si="250"/>
        <v>194200</v>
      </c>
      <c r="O635" s="72">
        <f t="shared" si="250"/>
        <v>186773</v>
      </c>
      <c r="P635" s="72">
        <f t="shared" si="250"/>
        <v>0</v>
      </c>
      <c r="Q635" s="72">
        <f t="shared" si="250"/>
        <v>0</v>
      </c>
      <c r="R635" s="72">
        <f t="shared" si="250"/>
        <v>0</v>
      </c>
      <c r="S635" s="73">
        <f>S636+S637+S638+S639+S640+S641+S642</f>
        <v>0</v>
      </c>
      <c r="T635" s="72">
        <f t="shared" si="250"/>
        <v>0</v>
      </c>
      <c r="U635" s="72">
        <f t="shared" si="250"/>
        <v>0</v>
      </c>
      <c r="V635" s="72">
        <f t="shared" si="250"/>
        <v>0</v>
      </c>
      <c r="W635" s="72">
        <f t="shared" si="250"/>
        <v>0</v>
      </c>
      <c r="X635" s="72">
        <f t="shared" si="250"/>
        <v>0</v>
      </c>
      <c r="Y635" s="72">
        <f t="shared" si="250"/>
        <v>0</v>
      </c>
      <c r="Z635" s="72">
        <f t="shared" si="250"/>
        <v>0</v>
      </c>
      <c r="AA635" s="72">
        <f t="shared" si="250"/>
        <v>0</v>
      </c>
      <c r="AB635" s="72">
        <f t="shared" si="250"/>
        <v>0</v>
      </c>
      <c r="AC635" s="72">
        <f t="shared" si="250"/>
        <v>0</v>
      </c>
      <c r="AD635" s="72">
        <f t="shared" si="250"/>
        <v>0</v>
      </c>
      <c r="AE635" s="72">
        <f t="shared" si="250"/>
        <v>0</v>
      </c>
      <c r="AF635" s="72">
        <f t="shared" si="250"/>
        <v>0</v>
      </c>
    </row>
    <row r="636" spans="1:32" ht="67.5" x14ac:dyDescent="0.2">
      <c r="A636" s="4"/>
      <c r="B636" s="31"/>
      <c r="C636" s="42" t="s">
        <v>77</v>
      </c>
      <c r="D636" s="134" t="s">
        <v>216</v>
      </c>
      <c r="E636" s="32">
        <v>161200</v>
      </c>
      <c r="F636" s="20">
        <v>158500</v>
      </c>
      <c r="G636" s="11">
        <f t="shared" si="223"/>
        <v>0.98325062034739452</v>
      </c>
      <c r="H636" s="20">
        <v>161200</v>
      </c>
      <c r="I636" s="20">
        <v>83945</v>
      </c>
      <c r="J636" s="11">
        <f t="shared" si="224"/>
        <v>0.5207506203473945</v>
      </c>
      <c r="K636" s="24">
        <f>L636+T636+U636</f>
        <v>194200</v>
      </c>
      <c r="L636" s="19">
        <f>SUM(M636:S636)</f>
        <v>194200</v>
      </c>
      <c r="M636" s="19"/>
      <c r="N636" s="101">
        <v>194200</v>
      </c>
      <c r="O636" s="19"/>
      <c r="P636" s="19"/>
      <c r="Q636" s="19"/>
      <c r="R636" s="19"/>
      <c r="S636" s="19"/>
      <c r="T636" s="19"/>
      <c r="U636" s="19">
        <f>SUM(V636:AE636)</f>
        <v>0</v>
      </c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</row>
    <row r="637" spans="1:32" x14ac:dyDescent="0.2">
      <c r="A637" s="4"/>
      <c r="B637" s="31"/>
      <c r="C637" s="42" t="s">
        <v>118</v>
      </c>
      <c r="D637" s="134" t="s">
        <v>119</v>
      </c>
      <c r="E637" s="32">
        <v>2047</v>
      </c>
      <c r="F637" s="20">
        <v>0</v>
      </c>
      <c r="G637" s="11">
        <f t="shared" si="223"/>
        <v>0</v>
      </c>
      <c r="H637" s="20">
        <f t="shared" ref="H637:H638" si="251">F637/3*4</f>
        <v>0</v>
      </c>
      <c r="I637" s="20">
        <v>2994</v>
      </c>
      <c r="J637" s="11">
        <f t="shared" si="224"/>
        <v>1.4626282364435759</v>
      </c>
      <c r="K637" s="24">
        <f t="shared" ref="K637:K642" si="252">L637+T637+U637</f>
        <v>2047</v>
      </c>
      <c r="L637" s="19">
        <f t="shared" ref="L637:L642" si="253">SUM(M637:S637)</f>
        <v>2047</v>
      </c>
      <c r="M637" s="19"/>
      <c r="N637" s="19"/>
      <c r="O637" s="19">
        <v>2047</v>
      </c>
      <c r="P637" s="19"/>
      <c r="Q637" s="55"/>
      <c r="R637" s="19"/>
      <c r="S637" s="19"/>
      <c r="T637" s="19"/>
      <c r="U637" s="19">
        <f t="shared" ref="U637:U642" si="254">SUM(V637:AE637)</f>
        <v>0</v>
      </c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</row>
    <row r="638" spans="1:32" x14ac:dyDescent="0.2">
      <c r="A638" s="4"/>
      <c r="B638" s="31"/>
      <c r="C638" s="42" t="s">
        <v>120</v>
      </c>
      <c r="D638" s="134" t="s">
        <v>121</v>
      </c>
      <c r="E638" s="32">
        <v>297</v>
      </c>
      <c r="F638" s="20">
        <v>0</v>
      </c>
      <c r="G638" s="11">
        <f t="shared" si="223"/>
        <v>0</v>
      </c>
      <c r="H638" s="20">
        <f t="shared" si="251"/>
        <v>0</v>
      </c>
      <c r="I638" s="20">
        <v>0</v>
      </c>
      <c r="J638" s="11">
        <f t="shared" si="224"/>
        <v>0</v>
      </c>
      <c r="K638" s="24">
        <f t="shared" si="252"/>
        <v>297</v>
      </c>
      <c r="L638" s="19">
        <f t="shared" si="253"/>
        <v>297</v>
      </c>
      <c r="M638" s="19"/>
      <c r="N638" s="19"/>
      <c r="O638" s="19">
        <v>297</v>
      </c>
      <c r="P638" s="19"/>
      <c r="Q638" s="19"/>
      <c r="R638" s="19"/>
      <c r="S638" s="19"/>
      <c r="T638" s="19"/>
      <c r="U638" s="19">
        <f t="shared" si="254"/>
        <v>0</v>
      </c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</row>
    <row r="639" spans="1:32" x14ac:dyDescent="0.2">
      <c r="A639" s="4"/>
      <c r="B639" s="31"/>
      <c r="C639" s="42" t="s">
        <v>128</v>
      </c>
      <c r="D639" s="134" t="s">
        <v>129</v>
      </c>
      <c r="E639" s="32">
        <v>24629</v>
      </c>
      <c r="F639" s="20">
        <v>20183.7</v>
      </c>
      <c r="G639" s="11">
        <f t="shared" si="223"/>
        <v>0.81950952129603316</v>
      </c>
      <c r="H639" s="20">
        <v>23000</v>
      </c>
      <c r="I639" s="20">
        <v>17506</v>
      </c>
      <c r="J639" s="11">
        <f t="shared" si="224"/>
        <v>0.71078809533476794</v>
      </c>
      <c r="K639" s="24">
        <f t="shared" si="252"/>
        <v>12129</v>
      </c>
      <c r="L639" s="19">
        <f t="shared" si="253"/>
        <v>12129</v>
      </c>
      <c r="M639" s="19"/>
      <c r="N639" s="19"/>
      <c r="O639" s="55">
        <v>12129</v>
      </c>
      <c r="P639" s="19"/>
      <c r="Q639" s="19"/>
      <c r="R639" s="19"/>
      <c r="S639" s="19"/>
      <c r="T639" s="19"/>
      <c r="U639" s="19">
        <f t="shared" si="254"/>
        <v>0</v>
      </c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</row>
    <row r="640" spans="1:32" x14ac:dyDescent="0.2">
      <c r="A640" s="4"/>
      <c r="B640" s="31"/>
      <c r="C640" s="42" t="s">
        <v>122</v>
      </c>
      <c r="D640" s="134" t="s">
        <v>123</v>
      </c>
      <c r="E640" s="32">
        <v>68800</v>
      </c>
      <c r="F640" s="20">
        <v>7773</v>
      </c>
      <c r="G640" s="11">
        <f t="shared" si="223"/>
        <v>0.1129796511627907</v>
      </c>
      <c r="H640" s="20">
        <v>10000</v>
      </c>
      <c r="I640" s="20">
        <v>62300</v>
      </c>
      <c r="J640" s="11">
        <f t="shared" si="224"/>
        <v>0.90552325581395354</v>
      </c>
      <c r="K640" s="24">
        <f t="shared" si="252"/>
        <v>73800</v>
      </c>
      <c r="L640" s="19">
        <f t="shared" si="253"/>
        <v>73800</v>
      </c>
      <c r="M640" s="19"/>
      <c r="N640" s="19"/>
      <c r="O640" s="101">
        <v>73800</v>
      </c>
      <c r="P640" s="19"/>
      <c r="Q640" s="55"/>
      <c r="R640" s="19"/>
      <c r="S640" s="19"/>
      <c r="T640" s="19"/>
      <c r="U640" s="19">
        <f t="shared" si="254"/>
        <v>0</v>
      </c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</row>
    <row r="641" spans="1:32" x14ac:dyDescent="0.2">
      <c r="A641" s="4"/>
      <c r="B641" s="31"/>
      <c r="C641" s="42" t="s">
        <v>124</v>
      </c>
      <c r="D641" s="134" t="s">
        <v>125</v>
      </c>
      <c r="E641" s="32">
        <v>78800</v>
      </c>
      <c r="F641" s="20">
        <v>42030.42</v>
      </c>
      <c r="G641" s="11">
        <f t="shared" si="223"/>
        <v>0.533380964467005</v>
      </c>
      <c r="H641" s="20">
        <f>(F641/3*4)-7019.06</f>
        <v>49021.5</v>
      </c>
      <c r="I641" s="20">
        <v>68900</v>
      </c>
      <c r="J641" s="11">
        <f t="shared" si="224"/>
        <v>0.87436548223350252</v>
      </c>
      <c r="K641" s="24">
        <f t="shared" si="252"/>
        <v>78800</v>
      </c>
      <c r="L641" s="19">
        <f t="shared" si="253"/>
        <v>78800</v>
      </c>
      <c r="M641" s="19"/>
      <c r="N641" s="19"/>
      <c r="O641" s="101">
        <v>78800</v>
      </c>
      <c r="P641" s="19"/>
      <c r="Q641" s="55"/>
      <c r="R641" s="19"/>
      <c r="S641" s="19"/>
      <c r="T641" s="19"/>
      <c r="U641" s="19">
        <f t="shared" si="254"/>
        <v>0</v>
      </c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</row>
    <row r="642" spans="1:32" x14ac:dyDescent="0.2">
      <c r="A642" s="4"/>
      <c r="B642" s="31"/>
      <c r="C642" s="42" t="s">
        <v>126</v>
      </c>
      <c r="D642" s="134" t="s">
        <v>127</v>
      </c>
      <c r="E642" s="32">
        <v>5700</v>
      </c>
      <c r="F642" s="20">
        <v>4040</v>
      </c>
      <c r="G642" s="11">
        <f t="shared" si="223"/>
        <v>0.70877192982456139</v>
      </c>
      <c r="H642" s="20">
        <f>F642/3*4</f>
        <v>5386.666666666667</v>
      </c>
      <c r="I642" s="20">
        <v>22700</v>
      </c>
      <c r="J642" s="11">
        <f t="shared" si="224"/>
        <v>3.9824561403508771</v>
      </c>
      <c r="K642" s="24">
        <f t="shared" si="252"/>
        <v>19700</v>
      </c>
      <c r="L642" s="29">
        <f t="shared" si="253"/>
        <v>19700</v>
      </c>
      <c r="M642" s="29"/>
      <c r="N642" s="29"/>
      <c r="O642" s="56">
        <v>19700</v>
      </c>
      <c r="P642" s="29"/>
      <c r="Q642" s="56"/>
      <c r="R642" s="29"/>
      <c r="S642" s="29"/>
      <c r="T642" s="29"/>
      <c r="U642" s="29">
        <f t="shared" si="254"/>
        <v>0</v>
      </c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</row>
    <row r="643" spans="1:32" ht="31.5" customHeight="1" x14ac:dyDescent="0.2">
      <c r="A643" s="186" t="s">
        <v>107</v>
      </c>
      <c r="B643" s="186"/>
      <c r="C643" s="187"/>
      <c r="D643" s="187"/>
      <c r="E643" s="163">
        <f>E620+E584+E530+E472+E454+E381+E353+E212+E204+E200+E162+E148+E72+E63+E47+E42+E27+E19+E4</f>
        <v>96289543.789999992</v>
      </c>
      <c r="F643" s="163">
        <f>F620+F584+F530+F472+F454+F381+F353+F212+F204+F200+F162+F148+F72+F63+F47+F42+F27+F19+F4</f>
        <v>69342313.690000027</v>
      </c>
      <c r="G643" s="164">
        <f>F643/E643</f>
        <v>0.72014375560061039</v>
      </c>
      <c r="H643" s="163">
        <f>H620+H584+H530+H472+H454+H381+H353+H212+H204+H200+H162+H148+H72+H63+H47+H42+H27+H19+H4</f>
        <v>92456418.250833303</v>
      </c>
      <c r="I643" s="192">
        <f>I620+I584+I530+I472+I454+I381+I353+I212+I204+I200+I162+I148+I72+I63+I47+I42+I27+I19+I4</f>
        <v>87662073.290000007</v>
      </c>
      <c r="J643" s="164">
        <f>I643/E643</f>
        <v>0.91040075422087541</v>
      </c>
      <c r="K643" s="50" t="e">
        <f>K620+K584+K530+K472+K454+#REF!+K381+K353+K212+K204+K200+K162+K148+K72+K63+K47+K42+K27+K19+K4</f>
        <v>#REF!</v>
      </c>
      <c r="L643" s="47" t="e">
        <f>L620+L584+L530+L472+L454+#REF!+L381+L353+L212+L204+L200+L162+L148+L72+L63+L47+L42+L27+L19+L4</f>
        <v>#REF!</v>
      </c>
      <c r="M643" s="47" t="e">
        <f>M620+M584+M530+M472+M454+#REF!+M381+M353+M212+M204+M200+M162+M148+M72+M63+M47+M42+M27+M19+M4</f>
        <v>#REF!</v>
      </c>
      <c r="N643" s="49" t="e">
        <f>N620+N584+N530+N472+N454+#REF!+N381+N353+N212+N204+N200+N162+N148+N72+N63+N47+N42+N27+N19+N4</f>
        <v>#REF!</v>
      </c>
      <c r="O643" s="49" t="e">
        <f>O620+O584+O530+O472+O454+#REF!+O381+O353+O212+O204+O200+O162+O148+O72+O63+O47+O42+O27+O19+O4+O635+O117</f>
        <v>#REF!</v>
      </c>
      <c r="P643" s="47" t="e">
        <f>P620+P584+P530+P472+P454+#REF!+P381+P353+P212+P204+P200+P162+P148+P72+P63+P47+P42+P27+P19+P4</f>
        <v>#REF!</v>
      </c>
      <c r="Q643" s="47" t="e">
        <f>Q620+Q584+Q530+Q472+Q454+#REF!+Q381+Q353+Q212+Q204+Q200+Q162+Q148+Q72+Q63+Q47+Q42+Q27+Q19+Q4</f>
        <v>#REF!</v>
      </c>
      <c r="R643" s="47" t="e">
        <f>R620+R584+R530+R472+R454+#REF!+R381+R353+R212+R204+R200+R162+R148+R72+R63+R47+R42+R27+R19+R4</f>
        <v>#REF!</v>
      </c>
      <c r="S643" s="47" t="e">
        <f>S620+S584+S530+S472+S454+#REF!+S381+S353+S212+S204+S200+S162+S148+S72+S63+S47+S42+S27+S19+S4</f>
        <v>#REF!</v>
      </c>
      <c r="T643" s="49" t="e">
        <f>T620+T584+T530+T472+T454+#REF!+T381+T353+T212+T204+T200+T162+T148+T72+T63+T47+T42+T27+T19+T4</f>
        <v>#REF!</v>
      </c>
      <c r="U643" s="49" t="e">
        <f>U620+U584+U530+U472+U454+#REF!+U381+U353+U212+U204+U200+U162+U148+U72+U63+U47+U42+U27+U19+U4</f>
        <v>#REF!</v>
      </c>
      <c r="V643" s="47" t="e">
        <f>V620+V584+V530+V472+V454+#REF!+V381+V353+V212+V204+V200+V162+V148+V72+V63+V47+V42+V27+V19+V4</f>
        <v>#REF!</v>
      </c>
      <c r="W643" s="49" t="e">
        <f>W620+W584+W530+W472+W454+#REF!+W381+W353+W212+W204+W200+W162+W148+W72+W63+W47+W42+W27+W19+W4</f>
        <v>#REF!</v>
      </c>
      <c r="X643" s="47" t="e">
        <f>X620+X584+X530+X472+X454+#REF!+X381+X353+X212+X204+X200+X162+X148+X72+X63+X47+X42+X27+X19+X4</f>
        <v>#REF!</v>
      </c>
      <c r="Y643" s="47" t="e">
        <f>Y620+Y584+Y530+Y472+Y454+#REF!+Y381+Y353+Y212+Y204+Y200+Y162+Y148+Y72+Y63+Y47+Y42+Y27+Y19+Y4</f>
        <v>#REF!</v>
      </c>
      <c r="Z643" s="49" t="e">
        <f>Z620+Z584+Z530+Z472+Z454+#REF!+Z381+Z353+Z212+Z204+Z200+Z162+Z148+Z72+Z63+Z47+Z42+Z27+Z19+Z4</f>
        <v>#REF!</v>
      </c>
      <c r="AA643" s="47" t="e">
        <f>AA620+AA584+AA530+AA472+AA454+#REF!+AA381+AA353+AA212+AA204+AA200+AA162+AA148+AA72+AA63+AA47+AA42+AA27+AA19+AA4</f>
        <v>#REF!</v>
      </c>
      <c r="AB643" s="49" t="e">
        <f>AB620+AB584+AB530+AB472+AB454+#REF!+AB381+AB353+AB212+AB204+AB200+AB162+AB148+AB72+AB63+AB47+AB42+AB27+AB19+AB4</f>
        <v>#REF!</v>
      </c>
      <c r="AC643" s="49" t="e">
        <f>AC620+AC584+AC530+AC472+AC454+#REF!+AC381+AC353+AC212+AC204+AC200+AC162+AC148+AC72+AC63+AC47+AC42+AC27+AC19+AC4</f>
        <v>#REF!</v>
      </c>
      <c r="AD643" s="47" t="e">
        <f>AD620+AD584+AD530+AD472+AD454+#REF!+AD381+AD353+AD212+AD204+AD200+AD162+AD148+AD72+AD63+AD47+AD42+AD27+AD19+AD4</f>
        <v>#REF!</v>
      </c>
      <c r="AE643" s="47" t="e">
        <f>AE620+AE584+AE530+AE472+AE454+#REF!+AE381+AE353+AE212+AE204+AE200+AE162+AE148+AE72+AE63+AE47+AE42+AE27+AE19+AE4</f>
        <v>#REF!</v>
      </c>
      <c r="AF643" s="47" t="e">
        <f>AF620+AF584+AF530+AF472+AF454+#REF!+AF381+AF353+AF212+AF204+AF200+AF162+AF148+AF72+AF63+AF47+AF42+AF27+AF19+AF4</f>
        <v>#REF!</v>
      </c>
    </row>
    <row r="644" spans="1:32" x14ac:dyDescent="0.2">
      <c r="C644" s="17"/>
    </row>
    <row r="645" spans="1:32" x14ac:dyDescent="0.2">
      <c r="B645" s="37"/>
      <c r="C645" s="17"/>
    </row>
    <row r="646" spans="1:32" x14ac:dyDescent="0.2">
      <c r="C646" s="17"/>
    </row>
    <row r="647" spans="1:32" x14ac:dyDescent="0.2">
      <c r="C647" s="17"/>
    </row>
    <row r="648" spans="1:32" x14ac:dyDescent="0.2">
      <c r="C648" s="17"/>
    </row>
    <row r="649" spans="1:32" x14ac:dyDescent="0.2">
      <c r="C649" s="17"/>
    </row>
    <row r="650" spans="1:32" x14ac:dyDescent="0.2">
      <c r="C650" s="17"/>
    </row>
    <row r="651" spans="1:32" x14ac:dyDescent="0.2">
      <c r="C651" s="17"/>
    </row>
    <row r="652" spans="1:32" x14ac:dyDescent="0.2">
      <c r="C652" s="17"/>
    </row>
    <row r="653" spans="1:32" x14ac:dyDescent="0.2">
      <c r="C653" s="17"/>
    </row>
    <row r="654" spans="1:32" x14ac:dyDescent="0.2">
      <c r="C654" s="17"/>
    </row>
    <row r="655" spans="1:32" x14ac:dyDescent="0.2">
      <c r="C655" s="17"/>
    </row>
    <row r="656" spans="1:32" x14ac:dyDescent="0.2">
      <c r="C656" s="17"/>
    </row>
    <row r="657" spans="3:3" x14ac:dyDescent="0.2">
      <c r="C657" s="17"/>
    </row>
    <row r="658" spans="3:3" x14ac:dyDescent="0.2">
      <c r="C658" s="17"/>
    </row>
    <row r="659" spans="3:3" x14ac:dyDescent="0.2">
      <c r="C659" s="17"/>
    </row>
    <row r="660" spans="3:3" x14ac:dyDescent="0.2">
      <c r="C660" s="17"/>
    </row>
    <row r="661" spans="3:3" x14ac:dyDescent="0.2">
      <c r="C661" s="17"/>
    </row>
    <row r="662" spans="3:3" x14ac:dyDescent="0.2">
      <c r="C662" s="17"/>
    </row>
    <row r="663" spans="3:3" x14ac:dyDescent="0.2">
      <c r="C663" s="17"/>
    </row>
    <row r="664" spans="3:3" x14ac:dyDescent="0.2">
      <c r="C664" s="17"/>
    </row>
    <row r="665" spans="3:3" x14ac:dyDescent="0.2">
      <c r="C665" s="17"/>
    </row>
    <row r="666" spans="3:3" x14ac:dyDescent="0.2">
      <c r="C666" s="17"/>
    </row>
    <row r="667" spans="3:3" x14ac:dyDescent="0.2">
      <c r="C667" s="17"/>
    </row>
    <row r="668" spans="3:3" x14ac:dyDescent="0.2">
      <c r="C668" s="17"/>
    </row>
    <row r="669" spans="3:3" x14ac:dyDescent="0.2">
      <c r="C669" s="17"/>
    </row>
    <row r="670" spans="3:3" x14ac:dyDescent="0.2">
      <c r="C670" s="17"/>
    </row>
    <row r="671" spans="3:3" x14ac:dyDescent="0.2">
      <c r="C671" s="17"/>
    </row>
    <row r="672" spans="3:3" x14ac:dyDescent="0.2">
      <c r="C672" s="17"/>
    </row>
    <row r="673" spans="3:3" x14ac:dyDescent="0.2">
      <c r="C673" s="17"/>
    </row>
    <row r="674" spans="3:3" x14ac:dyDescent="0.2">
      <c r="C674" s="17"/>
    </row>
    <row r="675" spans="3:3" x14ac:dyDescent="0.2">
      <c r="C675" s="17"/>
    </row>
    <row r="676" spans="3:3" x14ac:dyDescent="0.2">
      <c r="C676" s="17"/>
    </row>
    <row r="677" spans="3:3" x14ac:dyDescent="0.2">
      <c r="C677" s="17"/>
    </row>
    <row r="678" spans="3:3" x14ac:dyDescent="0.2">
      <c r="C678" s="17"/>
    </row>
    <row r="679" spans="3:3" x14ac:dyDescent="0.2">
      <c r="C679" s="17"/>
    </row>
    <row r="680" spans="3:3" x14ac:dyDescent="0.2">
      <c r="C680" s="17"/>
    </row>
    <row r="681" spans="3:3" x14ac:dyDescent="0.2">
      <c r="C681" s="17"/>
    </row>
    <row r="682" spans="3:3" x14ac:dyDescent="0.2">
      <c r="C682" s="17"/>
    </row>
    <row r="683" spans="3:3" x14ac:dyDescent="0.2">
      <c r="C683" s="17"/>
    </row>
    <row r="684" spans="3:3" x14ac:dyDescent="0.2">
      <c r="C684" s="17"/>
    </row>
    <row r="685" spans="3:3" x14ac:dyDescent="0.2">
      <c r="C685" s="17"/>
    </row>
    <row r="686" spans="3:3" x14ac:dyDescent="0.2">
      <c r="C686" s="17"/>
    </row>
    <row r="687" spans="3:3" x14ac:dyDescent="0.2">
      <c r="C687" s="17"/>
    </row>
    <row r="688" spans="3:3" x14ac:dyDescent="0.2">
      <c r="C688" s="17"/>
    </row>
    <row r="689" spans="3:3" x14ac:dyDescent="0.2">
      <c r="C689" s="17"/>
    </row>
    <row r="690" spans="3:3" x14ac:dyDescent="0.2">
      <c r="C690" s="17"/>
    </row>
    <row r="691" spans="3:3" x14ac:dyDescent="0.2">
      <c r="C691" s="17"/>
    </row>
    <row r="692" spans="3:3" x14ac:dyDescent="0.2">
      <c r="C692" s="17"/>
    </row>
    <row r="693" spans="3:3" x14ac:dyDescent="0.2">
      <c r="C693" s="17"/>
    </row>
    <row r="694" spans="3:3" x14ac:dyDescent="0.2">
      <c r="C694" s="17"/>
    </row>
    <row r="695" spans="3:3" x14ac:dyDescent="0.2">
      <c r="C695" s="17"/>
    </row>
    <row r="696" spans="3:3" x14ac:dyDescent="0.2">
      <c r="C696" s="17"/>
    </row>
    <row r="697" spans="3:3" x14ac:dyDescent="0.2">
      <c r="C697" s="17"/>
    </row>
    <row r="698" spans="3:3" x14ac:dyDescent="0.2">
      <c r="C698" s="17"/>
    </row>
    <row r="699" spans="3:3" x14ac:dyDescent="0.2">
      <c r="C699" s="17"/>
    </row>
    <row r="700" spans="3:3" x14ac:dyDescent="0.2">
      <c r="C700" s="17"/>
    </row>
    <row r="701" spans="3:3" x14ac:dyDescent="0.2">
      <c r="C701" s="17"/>
    </row>
    <row r="702" spans="3:3" x14ac:dyDescent="0.2">
      <c r="C702" s="17"/>
    </row>
    <row r="703" spans="3:3" x14ac:dyDescent="0.2">
      <c r="C703" s="17"/>
    </row>
    <row r="704" spans="3:3" x14ac:dyDescent="0.2">
      <c r="C704" s="17"/>
    </row>
    <row r="705" spans="3:3" x14ac:dyDescent="0.2">
      <c r="C705" s="17"/>
    </row>
  </sheetData>
  <mergeCells count="4">
    <mergeCell ref="A643:D643"/>
    <mergeCell ref="A2:J2"/>
    <mergeCell ref="B576:B577"/>
    <mergeCell ref="A1:J1"/>
  </mergeCells>
  <pageMargins left="0.84" right="0.25" top="0.75" bottom="0.56000000000000005" header="0.3" footer="0.3"/>
  <pageSetup paperSize="9" fitToHeight="0" orientation="landscape" r:id="rId1"/>
  <headerFooter>
    <oddFooter>Strona &amp;P z &amp;N</oddFooter>
  </headerFooter>
  <rowBreaks count="4" manualBreakCount="4">
    <brk id="405" max="16383" man="1"/>
    <brk id="466" max="16383" man="1"/>
    <brk id="520" max="32" man="1"/>
    <brk id="5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</vt:lpstr>
      <vt:lpstr>'Zał. nr 2'!Tytuły_wydruku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2020-11-16T15:53:04Z</cp:lastPrinted>
  <dcterms:created xsi:type="dcterms:W3CDTF">2018-10-01T15:27:17Z</dcterms:created>
  <dcterms:modified xsi:type="dcterms:W3CDTF">2020-11-16T16:05:46Z</dcterms:modified>
</cp:coreProperties>
</file>