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835"/>
  </bookViews>
  <sheets>
    <sheet name="Zał. nr 1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_xlnm.Print_Titles" localSheetId="0">'Zał. nr 1'!$3:$3</definedName>
    <definedName name="zal.3">#REF!</definedName>
  </definedNames>
  <calcPr calcId="152511"/>
</workbook>
</file>

<file path=xl/calcChain.xml><?xml version="1.0" encoding="utf-8"?>
<calcChain xmlns="http://schemas.openxmlformats.org/spreadsheetml/2006/main">
  <c r="H228" i="1" l="1"/>
  <c r="F168" i="1"/>
  <c r="G168" i="1"/>
  <c r="H168" i="1"/>
  <c r="I168" i="1"/>
  <c r="J168" i="1"/>
  <c r="E168" i="1"/>
  <c r="I169" i="1"/>
  <c r="H169" i="1"/>
  <c r="F169" i="1"/>
  <c r="E169" i="1"/>
  <c r="F116" i="1" l="1"/>
  <c r="H116" i="1"/>
  <c r="I116" i="1"/>
  <c r="J116" i="1" s="1"/>
  <c r="E116" i="1"/>
  <c r="G116" i="1" l="1"/>
  <c r="F222" i="1"/>
  <c r="H222" i="1"/>
  <c r="I222" i="1"/>
  <c r="E222" i="1"/>
  <c r="F217" i="1"/>
  <c r="H217" i="1"/>
  <c r="I217" i="1"/>
  <c r="E217" i="1"/>
  <c r="F212" i="1"/>
  <c r="H212" i="1"/>
  <c r="I212" i="1"/>
  <c r="E212" i="1"/>
  <c r="F205" i="1"/>
  <c r="H205" i="1"/>
  <c r="I205" i="1"/>
  <c r="J205" i="1"/>
  <c r="E205" i="1"/>
  <c r="J193" i="1"/>
  <c r="F181" i="1"/>
  <c r="H181" i="1"/>
  <c r="I181" i="1"/>
  <c r="E181" i="1"/>
  <c r="F176" i="1"/>
  <c r="H176" i="1"/>
  <c r="I176" i="1"/>
  <c r="E176" i="1"/>
  <c r="F160" i="1"/>
  <c r="H160" i="1"/>
  <c r="I160" i="1"/>
  <c r="E160" i="1"/>
  <c r="F153" i="1"/>
  <c r="H153" i="1"/>
  <c r="I153" i="1"/>
  <c r="E153" i="1"/>
  <c r="J154" i="1"/>
  <c r="F145" i="1"/>
  <c r="H145" i="1"/>
  <c r="I145" i="1"/>
  <c r="E145" i="1"/>
  <c r="F142" i="1"/>
  <c r="H142" i="1"/>
  <c r="I142" i="1"/>
  <c r="E142" i="1"/>
  <c r="J136" i="1"/>
  <c r="F123" i="1"/>
  <c r="H123" i="1"/>
  <c r="I123" i="1"/>
  <c r="E123" i="1"/>
  <c r="F104" i="1"/>
  <c r="H104" i="1"/>
  <c r="I104" i="1"/>
  <c r="E104" i="1"/>
  <c r="G112" i="1"/>
  <c r="F93" i="1"/>
  <c r="H93" i="1"/>
  <c r="I93" i="1"/>
  <c r="E93" i="1"/>
  <c r="F48" i="1"/>
  <c r="H48" i="1"/>
  <c r="I48" i="1"/>
  <c r="F56" i="1"/>
  <c r="H56" i="1"/>
  <c r="I56" i="1"/>
  <c r="J56" i="1"/>
  <c r="F32" i="1"/>
  <c r="H32" i="1"/>
  <c r="I32" i="1"/>
  <c r="E32" i="1"/>
  <c r="G34" i="1"/>
  <c r="J34" i="1"/>
  <c r="L34" i="1"/>
  <c r="S34" i="1"/>
  <c r="F21" i="1"/>
  <c r="H21" i="1"/>
  <c r="I21" i="1"/>
  <c r="E21" i="1"/>
  <c r="F7" i="1"/>
  <c r="H7" i="1"/>
  <c r="I7" i="1"/>
  <c r="F5" i="1"/>
  <c r="H5" i="1"/>
  <c r="I5" i="1"/>
  <c r="J5" i="1"/>
  <c r="E5" i="1"/>
  <c r="J212" i="1" l="1"/>
  <c r="J217" i="1"/>
  <c r="G222" i="1"/>
  <c r="G217" i="1"/>
  <c r="G205" i="1"/>
  <c r="G212" i="1"/>
  <c r="G181" i="1"/>
  <c r="J104" i="1"/>
  <c r="J123" i="1"/>
  <c r="J181" i="1"/>
  <c r="G160" i="1"/>
  <c r="G176" i="1"/>
  <c r="J176" i="1"/>
  <c r="G104" i="1"/>
  <c r="J153" i="1"/>
  <c r="J160" i="1"/>
  <c r="G142" i="1"/>
  <c r="J142" i="1"/>
  <c r="J145" i="1"/>
  <c r="G153" i="1"/>
  <c r="G145" i="1"/>
  <c r="G123" i="1"/>
  <c r="J93" i="1"/>
  <c r="G93" i="1"/>
  <c r="J48" i="1"/>
  <c r="G32" i="1"/>
  <c r="J32" i="1"/>
  <c r="G21" i="1"/>
  <c r="K34" i="1"/>
  <c r="J21" i="1"/>
  <c r="J194" i="1" l="1"/>
  <c r="J144" i="1"/>
  <c r="I45" i="1" l="1"/>
  <c r="I44" i="1" s="1"/>
  <c r="H45" i="1"/>
  <c r="H44" i="1" s="1"/>
  <c r="I111" i="1"/>
  <c r="H111" i="1"/>
  <c r="I113" i="1"/>
  <c r="I125" i="1"/>
  <c r="I131" i="1"/>
  <c r="I134" i="1"/>
  <c r="I137" i="1"/>
  <c r="I136" i="1" s="1"/>
  <c r="H137" i="1"/>
  <c r="H136" i="1" s="1"/>
  <c r="I140" i="1"/>
  <c r="H140" i="1"/>
  <c r="I148" i="1"/>
  <c r="H148" i="1"/>
  <c r="I151" i="1"/>
  <c r="I156" i="1"/>
  <c r="H156" i="1"/>
  <c r="I166" i="1"/>
  <c r="H166" i="1"/>
  <c r="I172" i="1"/>
  <c r="I171" i="1" s="1"/>
  <c r="H172" i="1"/>
  <c r="I186" i="1"/>
  <c r="H186" i="1"/>
  <c r="H189" i="1"/>
  <c r="I192" i="1"/>
  <c r="H192" i="1"/>
  <c r="I196" i="1"/>
  <c r="H196" i="1"/>
  <c r="I198" i="1"/>
  <c r="I203" i="1"/>
  <c r="H203" i="1"/>
  <c r="I207" i="1"/>
  <c r="H207" i="1"/>
  <c r="I209" i="1"/>
  <c r="H209" i="1"/>
  <c r="I215" i="1"/>
  <c r="H215" i="1"/>
  <c r="I225" i="1"/>
  <c r="F215" i="1"/>
  <c r="E215" i="1"/>
  <c r="G216" i="1"/>
  <c r="F207" i="1"/>
  <c r="E207" i="1"/>
  <c r="G206" i="1"/>
  <c r="F203" i="1"/>
  <c r="E203" i="1"/>
  <c r="G204" i="1"/>
  <c r="F196" i="1"/>
  <c r="E196" i="1"/>
  <c r="F192" i="1"/>
  <c r="E192" i="1"/>
  <c r="G193" i="1"/>
  <c r="F189" i="1"/>
  <c r="E189" i="1"/>
  <c r="G191" i="1"/>
  <c r="F166" i="1"/>
  <c r="E166" i="1"/>
  <c r="G167" i="1"/>
  <c r="F156" i="1"/>
  <c r="E156" i="1"/>
  <c r="G154" i="1"/>
  <c r="F148" i="1"/>
  <c r="E148" i="1"/>
  <c r="F140" i="1"/>
  <c r="E140" i="1"/>
  <c r="F137" i="1"/>
  <c r="F136" i="1" s="1"/>
  <c r="E137" i="1"/>
  <c r="E136" i="1" s="1"/>
  <c r="G138" i="1"/>
  <c r="J130" i="1"/>
  <c r="G122" i="1"/>
  <c r="G121" i="1"/>
  <c r="G120" i="1"/>
  <c r="F111" i="1"/>
  <c r="E111" i="1"/>
  <c r="G59" i="1"/>
  <c r="E56" i="1"/>
  <c r="G56" i="1" s="1"/>
  <c r="G57" i="1"/>
  <c r="F45" i="1"/>
  <c r="F44" i="1" s="1"/>
  <c r="E45" i="1"/>
  <c r="E44" i="1" s="1"/>
  <c r="G46" i="1"/>
  <c r="F28" i="1"/>
  <c r="E28" i="1"/>
  <c r="G26" i="1"/>
  <c r="E7" i="1"/>
  <c r="G11" i="1"/>
  <c r="G7" i="1" l="1"/>
  <c r="J7" i="1"/>
  <c r="I195" i="1"/>
  <c r="J192" i="1"/>
  <c r="G192" i="1"/>
  <c r="I214" i="1"/>
  <c r="G136" i="1"/>
  <c r="I115" i="1"/>
  <c r="I221" i="1"/>
  <c r="H214" i="1"/>
  <c r="G215" i="1"/>
  <c r="G166" i="1"/>
  <c r="G203" i="1"/>
  <c r="G137" i="1"/>
  <c r="G111" i="1"/>
  <c r="G44" i="1"/>
  <c r="G45" i="1"/>
  <c r="E234" i="1" l="1"/>
  <c r="F214" i="1"/>
  <c r="H238" i="1"/>
  <c r="F238" i="1"/>
  <c r="H125" i="1" l="1"/>
  <c r="I28" i="1"/>
  <c r="I27" i="1" s="1"/>
  <c r="H28" i="1"/>
  <c r="H27" i="1" s="1"/>
  <c r="F209" i="1"/>
  <c r="E209" i="1"/>
  <c r="F186" i="1"/>
  <c r="E186" i="1"/>
  <c r="F172" i="1"/>
  <c r="E172" i="1"/>
  <c r="G174" i="1"/>
  <c r="F125" i="1"/>
  <c r="E125" i="1"/>
  <c r="G130" i="1"/>
  <c r="F51" i="1"/>
  <c r="E51" i="1"/>
  <c r="F27" i="1"/>
  <c r="E27" i="1"/>
  <c r="N198" i="1" l="1"/>
  <c r="K53" i="1" l="1"/>
  <c r="L39" i="1"/>
  <c r="K39" i="1" s="1"/>
  <c r="L40" i="1"/>
  <c r="L41" i="1"/>
  <c r="L36" i="1"/>
  <c r="G194" i="1" l="1"/>
  <c r="G183" i="1"/>
  <c r="G182" i="1"/>
  <c r="G179" i="1"/>
  <c r="G178" i="1"/>
  <c r="G146" i="1"/>
  <c r="G92" i="1"/>
  <c r="G6" i="1"/>
  <c r="G5" i="1" s="1"/>
  <c r="F244" i="1" l="1"/>
  <c r="H244" i="1"/>
  <c r="M244" i="1"/>
  <c r="N244" i="1"/>
  <c r="O244" i="1"/>
  <c r="P244" i="1"/>
  <c r="Q244" i="1"/>
  <c r="R244" i="1"/>
  <c r="T244" i="1"/>
  <c r="U244" i="1"/>
  <c r="V244" i="1"/>
  <c r="W244" i="1"/>
  <c r="X244" i="1"/>
  <c r="Y244" i="1"/>
  <c r="Z244" i="1"/>
  <c r="AA244" i="1"/>
  <c r="AB244" i="1"/>
  <c r="AC244" i="1"/>
  <c r="M116" i="1"/>
  <c r="G244" i="1" l="1"/>
  <c r="J108" i="1"/>
  <c r="J109" i="1"/>
  <c r="J110" i="1"/>
  <c r="G105" i="1"/>
  <c r="G108" i="1"/>
  <c r="G109" i="1"/>
  <c r="G110" i="1"/>
  <c r="L201" i="1"/>
  <c r="L202" i="1"/>
  <c r="K202" i="1" l="1"/>
  <c r="K201" i="1"/>
  <c r="K219" i="1"/>
  <c r="N238" i="1" l="1"/>
  <c r="O238" i="1"/>
  <c r="P238" i="1"/>
  <c r="Q238" i="1"/>
  <c r="R238" i="1"/>
  <c r="T238" i="1"/>
  <c r="U238" i="1"/>
  <c r="V238" i="1"/>
  <c r="W238" i="1"/>
  <c r="X238" i="1"/>
  <c r="Y238" i="1"/>
  <c r="Z238" i="1"/>
  <c r="AA238" i="1"/>
  <c r="AB238" i="1"/>
  <c r="AC238" i="1"/>
  <c r="S194" i="1"/>
  <c r="S192" i="1" s="1"/>
  <c r="L194" i="1"/>
  <c r="L192" i="1" s="1"/>
  <c r="AC192" i="1"/>
  <c r="AB192" i="1"/>
  <c r="AA192" i="1"/>
  <c r="Z192" i="1"/>
  <c r="Y192" i="1"/>
  <c r="X192" i="1"/>
  <c r="W192" i="1"/>
  <c r="V192" i="1"/>
  <c r="U192" i="1"/>
  <c r="T192" i="1"/>
  <c r="R192" i="1"/>
  <c r="Q192" i="1"/>
  <c r="P192" i="1"/>
  <c r="O192" i="1"/>
  <c r="N192" i="1"/>
  <c r="M192" i="1"/>
  <c r="K194" i="1" l="1"/>
  <c r="G238" i="1"/>
  <c r="K192" i="1"/>
  <c r="M238" i="1" l="1"/>
  <c r="F239" i="1" l="1"/>
  <c r="M239" i="1"/>
  <c r="N239" i="1"/>
  <c r="O239" i="1"/>
  <c r="P239" i="1"/>
  <c r="Q239" i="1"/>
  <c r="T239" i="1"/>
  <c r="U239" i="1"/>
  <c r="V239" i="1"/>
  <c r="W239" i="1"/>
  <c r="X239" i="1"/>
  <c r="Y239" i="1"/>
  <c r="Z239" i="1"/>
  <c r="AA239" i="1"/>
  <c r="AB239" i="1"/>
  <c r="AC239" i="1"/>
  <c r="E239" i="1"/>
  <c r="R181" i="1"/>
  <c r="K182" i="1"/>
  <c r="K183" i="1"/>
  <c r="K178" i="1"/>
  <c r="K179" i="1"/>
  <c r="R176" i="1"/>
  <c r="R145" i="1"/>
  <c r="L146" i="1"/>
  <c r="K146" i="1" s="1"/>
  <c r="R153" i="1"/>
  <c r="L154" i="1"/>
  <c r="K154" i="1" s="1"/>
  <c r="AC181" i="1"/>
  <c r="M181" i="1"/>
  <c r="N181" i="1"/>
  <c r="O181" i="1"/>
  <c r="P181" i="1"/>
  <c r="Q181" i="1"/>
  <c r="T181" i="1"/>
  <c r="U181" i="1"/>
  <c r="V181" i="1"/>
  <c r="W181" i="1"/>
  <c r="X181" i="1"/>
  <c r="Y181" i="1"/>
  <c r="Z181" i="1"/>
  <c r="AA181" i="1"/>
  <c r="AB181" i="1"/>
  <c r="G239" i="1" l="1"/>
  <c r="H239" i="1" l="1"/>
  <c r="L225" i="1" l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K225" i="1"/>
  <c r="H225" i="1"/>
  <c r="F225" i="1"/>
  <c r="E225" i="1"/>
  <c r="M222" i="1"/>
  <c r="N222" i="1"/>
  <c r="O222" i="1"/>
  <c r="P222" i="1"/>
  <c r="Q222" i="1"/>
  <c r="R222" i="1"/>
  <c r="T222" i="1"/>
  <c r="T221" i="1" s="1"/>
  <c r="U222" i="1"/>
  <c r="U221" i="1" s="1"/>
  <c r="V222" i="1"/>
  <c r="V221" i="1" s="1"/>
  <c r="W222" i="1"/>
  <c r="W221" i="1" s="1"/>
  <c r="X222" i="1"/>
  <c r="X221" i="1" s="1"/>
  <c r="Y222" i="1"/>
  <c r="Y221" i="1" s="1"/>
  <c r="Z222" i="1"/>
  <c r="Z221" i="1" s="1"/>
  <c r="AA222" i="1"/>
  <c r="AA221" i="1" s="1"/>
  <c r="AB222" i="1"/>
  <c r="AB221" i="1" s="1"/>
  <c r="AC222" i="1"/>
  <c r="AC221" i="1" s="1"/>
  <c r="M217" i="1"/>
  <c r="N217" i="1"/>
  <c r="O217" i="1"/>
  <c r="P217" i="1"/>
  <c r="Q217" i="1"/>
  <c r="R217" i="1"/>
  <c r="T217" i="1"/>
  <c r="U217" i="1"/>
  <c r="V217" i="1"/>
  <c r="W217" i="1"/>
  <c r="X217" i="1"/>
  <c r="Y217" i="1"/>
  <c r="Z217" i="1"/>
  <c r="AA217" i="1"/>
  <c r="AB217" i="1"/>
  <c r="AC217" i="1"/>
  <c r="E214" i="1"/>
  <c r="J214" i="1" s="1"/>
  <c r="P212" i="1"/>
  <c r="Q212" i="1"/>
  <c r="R212" i="1"/>
  <c r="T212" i="1"/>
  <c r="U212" i="1"/>
  <c r="V212" i="1"/>
  <c r="W212" i="1"/>
  <c r="X212" i="1"/>
  <c r="Y212" i="1"/>
  <c r="Z212" i="1"/>
  <c r="AA212" i="1"/>
  <c r="AB212" i="1"/>
  <c r="AC212" i="1"/>
  <c r="M212" i="1"/>
  <c r="N212" i="1"/>
  <c r="O212" i="1"/>
  <c r="Q198" i="1"/>
  <c r="R198" i="1"/>
  <c r="T198" i="1"/>
  <c r="U198" i="1"/>
  <c r="V198" i="1"/>
  <c r="W198" i="1"/>
  <c r="X198" i="1"/>
  <c r="Y198" i="1"/>
  <c r="Z198" i="1"/>
  <c r="AA198" i="1"/>
  <c r="AB198" i="1"/>
  <c r="AC198" i="1"/>
  <c r="M198" i="1"/>
  <c r="O198" i="1"/>
  <c r="P198" i="1"/>
  <c r="F198" i="1"/>
  <c r="F195" i="1" s="1"/>
  <c r="H198" i="1"/>
  <c r="H195" i="1" s="1"/>
  <c r="E198" i="1"/>
  <c r="E195" i="1" s="1"/>
  <c r="J195" i="1" s="1"/>
  <c r="K136" i="1"/>
  <c r="L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M136" i="1"/>
  <c r="N116" i="1"/>
  <c r="O116" i="1"/>
  <c r="P116" i="1"/>
  <c r="Q116" i="1"/>
  <c r="R116" i="1"/>
  <c r="T116" i="1"/>
  <c r="U116" i="1"/>
  <c r="V116" i="1"/>
  <c r="W116" i="1"/>
  <c r="X116" i="1"/>
  <c r="Y116" i="1"/>
  <c r="Z116" i="1"/>
  <c r="AA116" i="1"/>
  <c r="AB116" i="1"/>
  <c r="AC116" i="1"/>
  <c r="F234" i="1"/>
  <c r="H234" i="1"/>
  <c r="M234" i="1"/>
  <c r="N234" i="1"/>
  <c r="O234" i="1"/>
  <c r="P234" i="1"/>
  <c r="Q234" i="1"/>
  <c r="R234" i="1"/>
  <c r="T234" i="1"/>
  <c r="U234" i="1"/>
  <c r="V234" i="1"/>
  <c r="W234" i="1"/>
  <c r="X234" i="1"/>
  <c r="Y234" i="1"/>
  <c r="Z234" i="1"/>
  <c r="AA234" i="1"/>
  <c r="AB234" i="1"/>
  <c r="AC234" i="1"/>
  <c r="M93" i="1"/>
  <c r="N93" i="1"/>
  <c r="O93" i="1"/>
  <c r="P93" i="1"/>
  <c r="Q93" i="1"/>
  <c r="R93" i="1"/>
  <c r="T93" i="1"/>
  <c r="U93" i="1"/>
  <c r="V93" i="1"/>
  <c r="W93" i="1"/>
  <c r="X93" i="1"/>
  <c r="Y93" i="1"/>
  <c r="Z93" i="1"/>
  <c r="AA93" i="1"/>
  <c r="AB93" i="1"/>
  <c r="AC93" i="1"/>
  <c r="M73" i="1"/>
  <c r="N73" i="1"/>
  <c r="O73" i="1"/>
  <c r="P73" i="1"/>
  <c r="Q73" i="1"/>
  <c r="R73" i="1"/>
  <c r="T73" i="1"/>
  <c r="U73" i="1"/>
  <c r="V73" i="1"/>
  <c r="W73" i="1"/>
  <c r="X73" i="1"/>
  <c r="Y73" i="1"/>
  <c r="Z73" i="1"/>
  <c r="AA73" i="1"/>
  <c r="AB73" i="1"/>
  <c r="AC73" i="1"/>
  <c r="H73" i="1"/>
  <c r="F73" i="1"/>
  <c r="E73" i="1"/>
  <c r="M70" i="1"/>
  <c r="N70" i="1"/>
  <c r="O70" i="1"/>
  <c r="P70" i="1"/>
  <c r="Q70" i="1"/>
  <c r="R70" i="1"/>
  <c r="T70" i="1"/>
  <c r="U70" i="1"/>
  <c r="V70" i="1"/>
  <c r="W70" i="1"/>
  <c r="X70" i="1"/>
  <c r="Y70" i="1"/>
  <c r="Z70" i="1"/>
  <c r="AA70" i="1"/>
  <c r="AB70" i="1"/>
  <c r="I70" i="1"/>
  <c r="H70" i="1"/>
  <c r="F70" i="1"/>
  <c r="E70" i="1"/>
  <c r="F242" i="1"/>
  <c r="H242" i="1"/>
  <c r="M242" i="1"/>
  <c r="N242" i="1"/>
  <c r="O242" i="1"/>
  <c r="P242" i="1"/>
  <c r="Q242" i="1"/>
  <c r="R242" i="1"/>
  <c r="T242" i="1"/>
  <c r="U242" i="1"/>
  <c r="V242" i="1"/>
  <c r="W242" i="1"/>
  <c r="X242" i="1"/>
  <c r="Y242" i="1"/>
  <c r="Z242" i="1"/>
  <c r="AA242" i="1"/>
  <c r="AB242" i="1"/>
  <c r="AC242" i="1"/>
  <c r="E242" i="1"/>
  <c r="N48" i="1"/>
  <c r="O48" i="1"/>
  <c r="P48" i="1"/>
  <c r="Q48" i="1"/>
  <c r="R48" i="1"/>
  <c r="T48" i="1"/>
  <c r="U48" i="1"/>
  <c r="V48" i="1"/>
  <c r="W48" i="1"/>
  <c r="X48" i="1"/>
  <c r="Y48" i="1"/>
  <c r="Z48" i="1"/>
  <c r="AA48" i="1"/>
  <c r="AB48" i="1"/>
  <c r="AC48" i="1"/>
  <c r="M4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L58" i="1"/>
  <c r="F58" i="1"/>
  <c r="F47" i="1" s="1"/>
  <c r="H58" i="1"/>
  <c r="I58" i="1"/>
  <c r="E58" i="1"/>
  <c r="N51" i="1"/>
  <c r="O51" i="1"/>
  <c r="P51" i="1"/>
  <c r="Q51" i="1"/>
  <c r="R51" i="1"/>
  <c r="T51" i="1"/>
  <c r="U51" i="1"/>
  <c r="V51" i="1"/>
  <c r="W51" i="1"/>
  <c r="X51" i="1"/>
  <c r="Y51" i="1"/>
  <c r="Z51" i="1"/>
  <c r="AA51" i="1"/>
  <c r="AB51" i="1"/>
  <c r="AC51" i="1"/>
  <c r="M51" i="1"/>
  <c r="I51" i="1"/>
  <c r="H51" i="1"/>
  <c r="H47" i="1" s="1"/>
  <c r="E48" i="1"/>
  <c r="J35" i="1"/>
  <c r="G35" i="1"/>
  <c r="G36" i="1"/>
  <c r="G37" i="1"/>
  <c r="G38" i="1"/>
  <c r="M32" i="1"/>
  <c r="N32" i="1"/>
  <c r="O32" i="1"/>
  <c r="P32" i="1"/>
  <c r="Q32" i="1"/>
  <c r="R32" i="1"/>
  <c r="T32" i="1"/>
  <c r="U32" i="1"/>
  <c r="V32" i="1"/>
  <c r="W32" i="1"/>
  <c r="X32" i="1"/>
  <c r="Y32" i="1"/>
  <c r="Z32" i="1"/>
  <c r="AA32" i="1"/>
  <c r="AB32" i="1"/>
  <c r="AC32" i="1"/>
  <c r="M21" i="1"/>
  <c r="N21" i="1"/>
  <c r="O21" i="1"/>
  <c r="P21" i="1"/>
  <c r="Q21" i="1"/>
  <c r="R21" i="1"/>
  <c r="T21" i="1"/>
  <c r="U21" i="1"/>
  <c r="V21" i="1"/>
  <c r="W21" i="1"/>
  <c r="X21" i="1"/>
  <c r="Y21" i="1"/>
  <c r="Z21" i="1"/>
  <c r="AA21" i="1"/>
  <c r="AB21" i="1"/>
  <c r="AC21" i="1"/>
  <c r="F13" i="1"/>
  <c r="F12" i="1" s="1"/>
  <c r="H13" i="1"/>
  <c r="H12" i="1" s="1"/>
  <c r="I13" i="1"/>
  <c r="K13" i="1"/>
  <c r="K12" i="1" s="1"/>
  <c r="L13" i="1"/>
  <c r="L12" i="1" s="1"/>
  <c r="M13" i="1"/>
  <c r="M12" i="1" s="1"/>
  <c r="N13" i="1"/>
  <c r="N12" i="1" s="1"/>
  <c r="O13" i="1"/>
  <c r="O12" i="1" s="1"/>
  <c r="P13" i="1"/>
  <c r="P12" i="1" s="1"/>
  <c r="Q13" i="1"/>
  <c r="Q12" i="1" s="1"/>
  <c r="R13" i="1"/>
  <c r="R12" i="1" s="1"/>
  <c r="S13" i="1"/>
  <c r="S12" i="1" s="1"/>
  <c r="T13" i="1"/>
  <c r="T12" i="1" s="1"/>
  <c r="U13" i="1"/>
  <c r="U12" i="1" s="1"/>
  <c r="V13" i="1"/>
  <c r="V12" i="1" s="1"/>
  <c r="W13" i="1"/>
  <c r="W12" i="1" s="1"/>
  <c r="X13" i="1"/>
  <c r="X12" i="1" s="1"/>
  <c r="Y13" i="1"/>
  <c r="Y12" i="1" s="1"/>
  <c r="Z13" i="1"/>
  <c r="Z12" i="1" s="1"/>
  <c r="AA13" i="1"/>
  <c r="AA12" i="1" s="1"/>
  <c r="AB13" i="1"/>
  <c r="AB12" i="1" s="1"/>
  <c r="AC13" i="1"/>
  <c r="AC12" i="1" s="1"/>
  <c r="E13" i="1"/>
  <c r="E12" i="1" s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B7" i="1"/>
  <c r="AC7" i="1"/>
  <c r="L9" i="1"/>
  <c r="K9" i="1" s="1"/>
  <c r="Q221" i="1" l="1"/>
  <c r="M221" i="1"/>
  <c r="G195" i="1"/>
  <c r="I47" i="1"/>
  <c r="E47" i="1"/>
  <c r="G47" i="1" s="1"/>
  <c r="G48" i="1"/>
  <c r="O221" i="1"/>
  <c r="G242" i="1"/>
  <c r="N221" i="1"/>
  <c r="H221" i="1"/>
  <c r="G234" i="1"/>
  <c r="R221" i="1"/>
  <c r="F221" i="1"/>
  <c r="E221" i="1"/>
  <c r="P221" i="1"/>
  <c r="M47" i="1"/>
  <c r="G198" i="1"/>
  <c r="I12" i="1"/>
  <c r="J47" i="1" l="1"/>
  <c r="L49" i="1" l="1"/>
  <c r="L48" i="1" s="1"/>
  <c r="L87" i="1"/>
  <c r="L114" i="1" l="1"/>
  <c r="R161" i="1" l="1"/>
  <c r="R239" i="1" s="1"/>
  <c r="L150" i="1"/>
  <c r="S223" i="1" l="1"/>
  <c r="S224" i="1"/>
  <c r="S218" i="1"/>
  <c r="S217" i="1" s="1"/>
  <c r="S213" i="1"/>
  <c r="S212" i="1" s="1"/>
  <c r="S211" i="1"/>
  <c r="S200" i="1"/>
  <c r="S199" i="1"/>
  <c r="S190" i="1"/>
  <c r="S187" i="1"/>
  <c r="S184" i="1"/>
  <c r="S185" i="1"/>
  <c r="S180" i="1"/>
  <c r="S177" i="1"/>
  <c r="S173" i="1"/>
  <c r="S170" i="1"/>
  <c r="S165" i="1"/>
  <c r="S162" i="1"/>
  <c r="S163" i="1"/>
  <c r="S161" i="1"/>
  <c r="S159" i="1"/>
  <c r="S155" i="1"/>
  <c r="S152" i="1"/>
  <c r="K152" i="1" s="1"/>
  <c r="S150" i="1"/>
  <c r="K150" i="1" s="1"/>
  <c r="S147" i="1"/>
  <c r="S135" i="1"/>
  <c r="S133" i="1"/>
  <c r="S132" i="1"/>
  <c r="S127" i="1"/>
  <c r="S128" i="1"/>
  <c r="S129" i="1"/>
  <c r="S126" i="1"/>
  <c r="S124" i="1"/>
  <c r="S120" i="1"/>
  <c r="S118" i="1"/>
  <c r="S114" i="1"/>
  <c r="K114" i="1" s="1"/>
  <c r="S106" i="1"/>
  <c r="S108" i="1"/>
  <c r="S109" i="1"/>
  <c r="S110" i="1"/>
  <c r="S105" i="1"/>
  <c r="S103" i="1"/>
  <c r="S101" i="1"/>
  <c r="S98" i="1"/>
  <c r="S97" i="1"/>
  <c r="S95" i="1"/>
  <c r="S94" i="1"/>
  <c r="S84" i="1"/>
  <c r="S85" i="1"/>
  <c r="S86" i="1"/>
  <c r="S87" i="1"/>
  <c r="K87" i="1" s="1"/>
  <c r="S88" i="1"/>
  <c r="S89" i="1"/>
  <c r="S90" i="1"/>
  <c r="S91" i="1"/>
  <c r="S92" i="1"/>
  <c r="S83" i="1"/>
  <c r="K83" i="1" s="1"/>
  <c r="S75" i="1"/>
  <c r="S76" i="1"/>
  <c r="K76" i="1" s="1"/>
  <c r="S77" i="1"/>
  <c r="S78" i="1"/>
  <c r="S80" i="1"/>
  <c r="S81" i="1"/>
  <c r="S74" i="1"/>
  <c r="K74" i="1" s="1"/>
  <c r="S71" i="1"/>
  <c r="S70" i="1" s="1"/>
  <c r="S68" i="1"/>
  <c r="S67" i="1"/>
  <c r="S64" i="1"/>
  <c r="S62" i="1"/>
  <c r="S55" i="1"/>
  <c r="S52" i="1"/>
  <c r="S49" i="1"/>
  <c r="S35" i="1"/>
  <c r="S36" i="1"/>
  <c r="S37" i="1"/>
  <c r="S38" i="1"/>
  <c r="S242" i="1" s="1"/>
  <c r="S33" i="1"/>
  <c r="S22" i="1"/>
  <c r="S21" i="1" s="1"/>
  <c r="S20" i="1"/>
  <c r="S17" i="1"/>
  <c r="S10" i="1"/>
  <c r="S8" i="1"/>
  <c r="S6" i="1"/>
  <c r="L223" i="1"/>
  <c r="L224" i="1"/>
  <c r="L218" i="1"/>
  <c r="L217" i="1" s="1"/>
  <c r="L213" i="1"/>
  <c r="L211" i="1"/>
  <c r="K211" i="1" s="1"/>
  <c r="L200" i="1"/>
  <c r="K200" i="1" s="1"/>
  <c r="L199" i="1"/>
  <c r="L190" i="1"/>
  <c r="L187" i="1"/>
  <c r="K187" i="1" s="1"/>
  <c r="L184" i="1"/>
  <c r="L185" i="1"/>
  <c r="K185" i="1" s="1"/>
  <c r="L180" i="1"/>
  <c r="K180" i="1" s="1"/>
  <c r="L177" i="1"/>
  <c r="L173" i="1"/>
  <c r="K173" i="1" s="1"/>
  <c r="L170" i="1"/>
  <c r="K170" i="1" s="1"/>
  <c r="L165" i="1"/>
  <c r="L162" i="1"/>
  <c r="K162" i="1" s="1"/>
  <c r="L163" i="1"/>
  <c r="K163" i="1" s="1"/>
  <c r="L161" i="1"/>
  <c r="L159" i="1"/>
  <c r="K159" i="1" s="1"/>
  <c r="L155" i="1"/>
  <c r="L147" i="1"/>
  <c r="L143" i="1"/>
  <c r="K143" i="1" s="1"/>
  <c r="L135" i="1"/>
  <c r="L133" i="1"/>
  <c r="K133" i="1" s="1"/>
  <c r="L132" i="1"/>
  <c r="L127" i="1"/>
  <c r="L128" i="1"/>
  <c r="L129" i="1"/>
  <c r="K129" i="1" s="1"/>
  <c r="L126" i="1"/>
  <c r="L124" i="1"/>
  <c r="K124" i="1" s="1"/>
  <c r="L120" i="1"/>
  <c r="L118" i="1"/>
  <c r="L106" i="1"/>
  <c r="L108" i="1"/>
  <c r="L109" i="1"/>
  <c r="L110" i="1"/>
  <c r="K105" i="1"/>
  <c r="L103" i="1"/>
  <c r="L101" i="1"/>
  <c r="L98" i="1"/>
  <c r="L97" i="1"/>
  <c r="K97" i="1" s="1"/>
  <c r="L95" i="1"/>
  <c r="L94" i="1"/>
  <c r="L84" i="1"/>
  <c r="L86" i="1"/>
  <c r="L88" i="1"/>
  <c r="K88" i="1" s="1"/>
  <c r="L89" i="1"/>
  <c r="L90" i="1"/>
  <c r="L91" i="1"/>
  <c r="L92" i="1"/>
  <c r="K92" i="1" s="1"/>
  <c r="L75" i="1"/>
  <c r="L77" i="1"/>
  <c r="L78" i="1"/>
  <c r="L80" i="1"/>
  <c r="L81" i="1"/>
  <c r="L52" i="1"/>
  <c r="L55" i="1"/>
  <c r="L62" i="1"/>
  <c r="L61" i="1" s="1"/>
  <c r="L64" i="1"/>
  <c r="L63" i="1" s="1"/>
  <c r="L67" i="1"/>
  <c r="K67" i="1" s="1"/>
  <c r="L68" i="1"/>
  <c r="L71" i="1"/>
  <c r="L35" i="1"/>
  <c r="L37" i="1"/>
  <c r="L38" i="1"/>
  <c r="L242" i="1" s="1"/>
  <c r="L33" i="1"/>
  <c r="K33" i="1" s="1"/>
  <c r="L22" i="1"/>
  <c r="L20" i="1"/>
  <c r="K20" i="1" s="1"/>
  <c r="L17" i="1"/>
  <c r="L10" i="1"/>
  <c r="K10" i="1" s="1"/>
  <c r="L8" i="1"/>
  <c r="L6" i="1"/>
  <c r="K6" i="1" s="1"/>
  <c r="K120" i="1" l="1"/>
  <c r="K135" i="1"/>
  <c r="K84" i="1"/>
  <c r="K110" i="1"/>
  <c r="K77" i="1"/>
  <c r="K98" i="1"/>
  <c r="K101" i="1"/>
  <c r="K55" i="1"/>
  <c r="S7" i="1"/>
  <c r="L198" i="1"/>
  <c r="K80" i="1"/>
  <c r="K106" i="1"/>
  <c r="L66" i="1"/>
  <c r="L65" i="1" s="1"/>
  <c r="J105" i="1"/>
  <c r="K35" i="1"/>
  <c r="K95" i="1"/>
  <c r="K103" i="1"/>
  <c r="L116" i="1"/>
  <c r="K17" i="1"/>
  <c r="K86" i="1"/>
  <c r="S222" i="1"/>
  <c r="S221" i="1" s="1"/>
  <c r="K161" i="1"/>
  <c r="K165" i="1"/>
  <c r="K177" i="1"/>
  <c r="K223" i="1"/>
  <c r="S51" i="1"/>
  <c r="S93" i="1"/>
  <c r="S181" i="1"/>
  <c r="K224" i="1"/>
  <c r="L244" i="1"/>
  <c r="S244" i="1"/>
  <c r="S116" i="1"/>
  <c r="S238" i="1"/>
  <c r="K190" i="1"/>
  <c r="I190" i="1" s="1"/>
  <c r="L238" i="1"/>
  <c r="L239" i="1"/>
  <c r="S239" i="1"/>
  <c r="K184" i="1"/>
  <c r="L181" i="1"/>
  <c r="K155" i="1"/>
  <c r="L153" i="1"/>
  <c r="K147" i="1"/>
  <c r="L145" i="1"/>
  <c r="L222" i="1"/>
  <c r="L221" i="1" s="1"/>
  <c r="S198" i="1"/>
  <c r="K71" i="1"/>
  <c r="L70" i="1"/>
  <c r="K49" i="1"/>
  <c r="S48" i="1"/>
  <c r="K48" i="1" s="1"/>
  <c r="K22" i="1"/>
  <c r="L21" i="1"/>
  <c r="K213" i="1"/>
  <c r="L212" i="1"/>
  <c r="K94" i="1"/>
  <c r="L93" i="1"/>
  <c r="K199" i="1"/>
  <c r="K109" i="1"/>
  <c r="L234" i="1"/>
  <c r="S234" i="1"/>
  <c r="K108" i="1"/>
  <c r="K91" i="1"/>
  <c r="K90" i="1"/>
  <c r="K85" i="1"/>
  <c r="K75" i="1"/>
  <c r="L73" i="1"/>
  <c r="K89" i="1"/>
  <c r="S73" i="1"/>
  <c r="K81" i="1"/>
  <c r="K78" i="1"/>
  <c r="S32" i="1"/>
  <c r="L32" i="1"/>
  <c r="K38" i="1"/>
  <c r="K37" i="1"/>
  <c r="J37" i="1" s="1"/>
  <c r="K8" i="1"/>
  <c r="L7" i="1"/>
  <c r="K218" i="1"/>
  <c r="K132" i="1"/>
  <c r="K118" i="1"/>
  <c r="K128" i="1"/>
  <c r="L51" i="1"/>
  <c r="L47" i="1" s="1"/>
  <c r="K126" i="1"/>
  <c r="K127" i="1"/>
  <c r="K68" i="1"/>
  <c r="K64" i="1"/>
  <c r="K36" i="1"/>
  <c r="K62" i="1"/>
  <c r="K52" i="1"/>
  <c r="L60" i="1"/>
  <c r="K198" i="1" l="1"/>
  <c r="I238" i="1"/>
  <c r="J238" i="1" s="1"/>
  <c r="I73" i="1"/>
  <c r="K242" i="1"/>
  <c r="I239" i="1"/>
  <c r="J239" i="1" s="1"/>
  <c r="I234" i="1"/>
  <c r="J234" i="1" s="1"/>
  <c r="J36" i="1"/>
  <c r="K244" i="1"/>
  <c r="K238" i="1"/>
  <c r="K234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L82" i="1"/>
  <c r="M82" i="1"/>
  <c r="N82" i="1"/>
  <c r="I82" i="1"/>
  <c r="H82" i="1"/>
  <c r="F82" i="1"/>
  <c r="E82" i="1"/>
  <c r="I242" i="1" l="1"/>
  <c r="J242" i="1" s="1"/>
  <c r="J38" i="1"/>
  <c r="I244" i="1"/>
  <c r="J244" i="1" s="1"/>
  <c r="K82" i="1"/>
  <c r="F245" i="1" l="1"/>
  <c r="H245" i="1"/>
  <c r="I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E245" i="1"/>
  <c r="F243" i="1"/>
  <c r="H243" i="1"/>
  <c r="I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E243" i="1"/>
  <c r="F237" i="1"/>
  <c r="H237" i="1"/>
  <c r="I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E237" i="1"/>
  <c r="F236" i="1"/>
  <c r="H236" i="1"/>
  <c r="I236" i="1"/>
  <c r="K236" i="1"/>
  <c r="L236" i="1"/>
  <c r="M236" i="1"/>
  <c r="N236" i="1"/>
  <c r="O236" i="1"/>
  <c r="P236" i="1"/>
  <c r="Q236" i="1"/>
  <c r="R236" i="1"/>
  <c r="T236" i="1"/>
  <c r="U236" i="1"/>
  <c r="V236" i="1"/>
  <c r="W236" i="1"/>
  <c r="X236" i="1"/>
  <c r="Y236" i="1"/>
  <c r="Z236" i="1"/>
  <c r="AA236" i="1"/>
  <c r="AB236" i="1"/>
  <c r="AC236" i="1"/>
  <c r="E236" i="1"/>
  <c r="F233" i="1"/>
  <c r="H233" i="1"/>
  <c r="I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F232" i="1"/>
  <c r="H232" i="1"/>
  <c r="I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E233" i="1"/>
  <c r="E232" i="1"/>
  <c r="J8" i="1"/>
  <c r="J10" i="1"/>
  <c r="J17" i="1"/>
  <c r="J20" i="1"/>
  <c r="J22" i="1"/>
  <c r="J33" i="1"/>
  <c r="J49" i="1"/>
  <c r="J52" i="1"/>
  <c r="J55" i="1"/>
  <c r="J62" i="1"/>
  <c r="J64" i="1"/>
  <c r="J67" i="1"/>
  <c r="J71" i="1"/>
  <c r="J74" i="1"/>
  <c r="J75" i="1"/>
  <c r="J76" i="1"/>
  <c r="J77" i="1"/>
  <c r="J78" i="1"/>
  <c r="J80" i="1"/>
  <c r="J81" i="1"/>
  <c r="J83" i="1"/>
  <c r="J84" i="1"/>
  <c r="J85" i="1"/>
  <c r="J86" i="1"/>
  <c r="J87" i="1"/>
  <c r="J88" i="1"/>
  <c r="J89" i="1"/>
  <c r="J90" i="1"/>
  <c r="J91" i="1"/>
  <c r="J94" i="1"/>
  <c r="J95" i="1"/>
  <c r="J97" i="1"/>
  <c r="J98" i="1"/>
  <c r="J101" i="1"/>
  <c r="J103" i="1"/>
  <c r="J114" i="1"/>
  <c r="J118" i="1"/>
  <c r="J124" i="1"/>
  <c r="J126" i="1"/>
  <c r="J127" i="1"/>
  <c r="J128" i="1"/>
  <c r="J129" i="1"/>
  <c r="J132" i="1"/>
  <c r="J133" i="1"/>
  <c r="J135" i="1"/>
  <c r="J143" i="1"/>
  <c r="J147" i="1"/>
  <c r="J150" i="1"/>
  <c r="J152" i="1"/>
  <c r="J155" i="1"/>
  <c r="J159" i="1"/>
  <c r="J161" i="1"/>
  <c r="J162" i="1"/>
  <c r="J163" i="1"/>
  <c r="J165" i="1"/>
  <c r="J173" i="1"/>
  <c r="J180" i="1"/>
  <c r="J184" i="1"/>
  <c r="J185" i="1"/>
  <c r="J187" i="1"/>
  <c r="J190" i="1"/>
  <c r="J199" i="1"/>
  <c r="J200" i="1"/>
  <c r="J211" i="1"/>
  <c r="J213" i="1"/>
  <c r="J218" i="1"/>
  <c r="J223" i="1"/>
  <c r="J222" i="1" s="1"/>
  <c r="G8" i="1"/>
  <c r="G10" i="1"/>
  <c r="G17" i="1"/>
  <c r="G20" i="1"/>
  <c r="G22" i="1"/>
  <c r="G33" i="1"/>
  <c r="G49" i="1"/>
  <c r="G52" i="1"/>
  <c r="G55" i="1"/>
  <c r="G62" i="1"/>
  <c r="G64" i="1"/>
  <c r="G67" i="1"/>
  <c r="G71" i="1"/>
  <c r="G74" i="1"/>
  <c r="G75" i="1"/>
  <c r="G76" i="1"/>
  <c r="G77" i="1"/>
  <c r="G78" i="1"/>
  <c r="G80" i="1"/>
  <c r="G81" i="1"/>
  <c r="G83" i="1"/>
  <c r="G84" i="1"/>
  <c r="G85" i="1"/>
  <c r="G86" i="1"/>
  <c r="G87" i="1"/>
  <c r="G88" i="1"/>
  <c r="G89" i="1"/>
  <c r="G90" i="1"/>
  <c r="G91" i="1"/>
  <c r="G94" i="1"/>
  <c r="G95" i="1"/>
  <c r="G97" i="1"/>
  <c r="G98" i="1"/>
  <c r="G101" i="1"/>
  <c r="G103" i="1"/>
  <c r="G114" i="1"/>
  <c r="G118" i="1"/>
  <c r="G124" i="1"/>
  <c r="G126" i="1"/>
  <c r="G127" i="1"/>
  <c r="G128" i="1"/>
  <c r="G129" i="1"/>
  <c r="G132" i="1"/>
  <c r="G133" i="1"/>
  <c r="G135" i="1"/>
  <c r="G143" i="1"/>
  <c r="G147" i="1"/>
  <c r="G150" i="1"/>
  <c r="G152" i="1"/>
  <c r="G155" i="1"/>
  <c r="G159" i="1"/>
  <c r="G161" i="1"/>
  <c r="G162" i="1"/>
  <c r="G163" i="1"/>
  <c r="G165" i="1"/>
  <c r="G173" i="1"/>
  <c r="G180" i="1"/>
  <c r="G184" i="1"/>
  <c r="G185" i="1"/>
  <c r="G187" i="1"/>
  <c r="G190" i="1"/>
  <c r="G199" i="1"/>
  <c r="G200" i="1"/>
  <c r="G211" i="1"/>
  <c r="G213" i="1"/>
  <c r="G218" i="1"/>
  <c r="G223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L209" i="1"/>
  <c r="M209" i="1"/>
  <c r="N209" i="1"/>
  <c r="N195" i="1" s="1"/>
  <c r="O209" i="1"/>
  <c r="P209" i="1"/>
  <c r="Q209" i="1"/>
  <c r="Q195" i="1" s="1"/>
  <c r="R209" i="1"/>
  <c r="R195" i="1" s="1"/>
  <c r="S209" i="1"/>
  <c r="T209" i="1"/>
  <c r="U209" i="1"/>
  <c r="U195" i="1" s="1"/>
  <c r="V209" i="1"/>
  <c r="W209" i="1"/>
  <c r="X209" i="1"/>
  <c r="Y209" i="1"/>
  <c r="Y195" i="1" s="1"/>
  <c r="Z209" i="1"/>
  <c r="Z195" i="1" s="1"/>
  <c r="AA209" i="1"/>
  <c r="AB209" i="1"/>
  <c r="AC209" i="1"/>
  <c r="AC195" i="1" s="1"/>
  <c r="V195" i="1"/>
  <c r="F175" i="1"/>
  <c r="I189" i="1"/>
  <c r="I175" i="1" s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E175" i="1"/>
  <c r="L176" i="1"/>
  <c r="M176" i="1"/>
  <c r="N176" i="1"/>
  <c r="O176" i="1"/>
  <c r="P176" i="1"/>
  <c r="Q176" i="1"/>
  <c r="S176" i="1"/>
  <c r="T176" i="1"/>
  <c r="U176" i="1"/>
  <c r="V176" i="1"/>
  <c r="W176" i="1"/>
  <c r="X176" i="1"/>
  <c r="Y176" i="1"/>
  <c r="Z176" i="1"/>
  <c r="AA176" i="1"/>
  <c r="AB176" i="1"/>
  <c r="AC176" i="1"/>
  <c r="H171" i="1"/>
  <c r="L172" i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V172" i="1"/>
  <c r="V171" i="1" s="1"/>
  <c r="W172" i="1"/>
  <c r="W171" i="1" s="1"/>
  <c r="X172" i="1"/>
  <c r="X171" i="1" s="1"/>
  <c r="Y172" i="1"/>
  <c r="Y171" i="1" s="1"/>
  <c r="Z172" i="1"/>
  <c r="Z171" i="1" s="1"/>
  <c r="AA172" i="1"/>
  <c r="AA171" i="1" s="1"/>
  <c r="AB172" i="1"/>
  <c r="AB171" i="1" s="1"/>
  <c r="AC172" i="1"/>
  <c r="AC171" i="1" s="1"/>
  <c r="E171" i="1"/>
  <c r="L169" i="1"/>
  <c r="M169" i="1"/>
  <c r="M168" i="1" s="1"/>
  <c r="N169" i="1"/>
  <c r="N168" i="1" s="1"/>
  <c r="O169" i="1"/>
  <c r="O168" i="1" s="1"/>
  <c r="P169" i="1"/>
  <c r="P168" i="1" s="1"/>
  <c r="Q169" i="1"/>
  <c r="Q168" i="1" s="1"/>
  <c r="R169" i="1"/>
  <c r="R168" i="1" s="1"/>
  <c r="S169" i="1"/>
  <c r="S168" i="1" s="1"/>
  <c r="T169" i="1"/>
  <c r="T168" i="1" s="1"/>
  <c r="U169" i="1"/>
  <c r="U168" i="1" s="1"/>
  <c r="V169" i="1"/>
  <c r="V168" i="1" s="1"/>
  <c r="W169" i="1"/>
  <c r="W168" i="1" s="1"/>
  <c r="X169" i="1"/>
  <c r="X168" i="1" s="1"/>
  <c r="Y169" i="1"/>
  <c r="Y168" i="1" s="1"/>
  <c r="Z169" i="1"/>
  <c r="Z168" i="1" s="1"/>
  <c r="AA169" i="1"/>
  <c r="AA168" i="1" s="1"/>
  <c r="AB169" i="1"/>
  <c r="AB168" i="1" s="1"/>
  <c r="AC169" i="1"/>
  <c r="AC168" i="1" s="1"/>
  <c r="F164" i="1"/>
  <c r="H164" i="1"/>
  <c r="I164" i="1"/>
  <c r="I139" i="1" s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E164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M153" i="1"/>
  <c r="N153" i="1"/>
  <c r="O153" i="1"/>
  <c r="P153" i="1"/>
  <c r="Q153" i="1"/>
  <c r="S153" i="1"/>
  <c r="T153" i="1"/>
  <c r="U153" i="1"/>
  <c r="V153" i="1"/>
  <c r="W153" i="1"/>
  <c r="X153" i="1"/>
  <c r="Y153" i="1"/>
  <c r="Z153" i="1"/>
  <c r="AA153" i="1"/>
  <c r="AB153" i="1"/>
  <c r="AC153" i="1"/>
  <c r="F151" i="1"/>
  <c r="F139" i="1" s="1"/>
  <c r="H151" i="1"/>
  <c r="H139" i="1" s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E151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AA145" i="1"/>
  <c r="AB145" i="1"/>
  <c r="AC145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F134" i="1"/>
  <c r="H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E134" i="1"/>
  <c r="F131" i="1"/>
  <c r="H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E131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L123" i="1"/>
  <c r="M123" i="1"/>
  <c r="N123" i="1"/>
  <c r="O123" i="1"/>
  <c r="P123" i="1"/>
  <c r="Q123" i="1"/>
  <c r="R123" i="1"/>
  <c r="R115" i="1" s="1"/>
  <c r="S123" i="1"/>
  <c r="T123" i="1"/>
  <c r="U123" i="1"/>
  <c r="V123" i="1"/>
  <c r="W123" i="1"/>
  <c r="X123" i="1"/>
  <c r="Y123" i="1"/>
  <c r="Z123" i="1"/>
  <c r="AA123" i="1"/>
  <c r="AB123" i="1"/>
  <c r="AC123" i="1"/>
  <c r="F113" i="1"/>
  <c r="H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E11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F102" i="1"/>
  <c r="H102" i="1"/>
  <c r="I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E102" i="1"/>
  <c r="F100" i="1"/>
  <c r="H100" i="1"/>
  <c r="I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E100" i="1"/>
  <c r="F96" i="1"/>
  <c r="H96" i="1"/>
  <c r="I96" i="1"/>
  <c r="L96" i="1"/>
  <c r="M96" i="1"/>
  <c r="M69" i="1" s="1"/>
  <c r="N96" i="1"/>
  <c r="O96" i="1"/>
  <c r="P96" i="1"/>
  <c r="Q96" i="1"/>
  <c r="Q69" i="1" s="1"/>
  <c r="R96" i="1"/>
  <c r="S96" i="1"/>
  <c r="T96" i="1"/>
  <c r="U96" i="1"/>
  <c r="U69" i="1" s="1"/>
  <c r="V96" i="1"/>
  <c r="W96" i="1"/>
  <c r="X96" i="1"/>
  <c r="Y96" i="1"/>
  <c r="Y69" i="1" s="1"/>
  <c r="Z96" i="1"/>
  <c r="AA96" i="1"/>
  <c r="AB96" i="1"/>
  <c r="AC96" i="1"/>
  <c r="E96" i="1"/>
  <c r="AC70" i="1"/>
  <c r="F66" i="1"/>
  <c r="F65" i="1" s="1"/>
  <c r="H66" i="1"/>
  <c r="H65" i="1" s="1"/>
  <c r="I66" i="1"/>
  <c r="I65" i="1" s="1"/>
  <c r="M66" i="1"/>
  <c r="M65" i="1" s="1"/>
  <c r="N66" i="1"/>
  <c r="N65" i="1" s="1"/>
  <c r="O66" i="1"/>
  <c r="O65" i="1" s="1"/>
  <c r="P66" i="1"/>
  <c r="P65" i="1" s="1"/>
  <c r="Q66" i="1"/>
  <c r="Q65" i="1" s="1"/>
  <c r="R66" i="1"/>
  <c r="S66" i="1"/>
  <c r="S65" i="1" s="1"/>
  <c r="T66" i="1"/>
  <c r="T65" i="1" s="1"/>
  <c r="U66" i="1"/>
  <c r="U65" i="1" s="1"/>
  <c r="V66" i="1"/>
  <c r="V65" i="1" s="1"/>
  <c r="W66" i="1"/>
  <c r="W65" i="1" s="1"/>
  <c r="X66" i="1"/>
  <c r="X65" i="1" s="1"/>
  <c r="Y66" i="1"/>
  <c r="Y65" i="1" s="1"/>
  <c r="Z66" i="1"/>
  <c r="Z65" i="1" s="1"/>
  <c r="AA66" i="1"/>
  <c r="AA65" i="1" s="1"/>
  <c r="AB66" i="1"/>
  <c r="AB65" i="1" s="1"/>
  <c r="AC66" i="1"/>
  <c r="AC65" i="1" s="1"/>
  <c r="E66" i="1"/>
  <c r="E65" i="1" s="1"/>
  <c r="F63" i="1"/>
  <c r="H63" i="1"/>
  <c r="I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E63" i="1"/>
  <c r="F61" i="1"/>
  <c r="H61" i="1"/>
  <c r="I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E61" i="1"/>
  <c r="N47" i="1"/>
  <c r="P47" i="1"/>
  <c r="T47" i="1"/>
  <c r="V47" i="1"/>
  <c r="X47" i="1"/>
  <c r="Z47" i="1"/>
  <c r="AB47" i="1"/>
  <c r="H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E31" i="1"/>
  <c r="K21" i="1"/>
  <c r="F19" i="1"/>
  <c r="H19" i="1"/>
  <c r="H18" i="1" s="1"/>
  <c r="I19" i="1"/>
  <c r="L19" i="1"/>
  <c r="M19" i="1"/>
  <c r="M18" i="1" s="1"/>
  <c r="N19" i="1"/>
  <c r="O19" i="1"/>
  <c r="P19" i="1"/>
  <c r="Q19" i="1"/>
  <c r="Q18" i="1" s="1"/>
  <c r="R19" i="1"/>
  <c r="R18" i="1" s="1"/>
  <c r="S19" i="1"/>
  <c r="T19" i="1"/>
  <c r="U19" i="1"/>
  <c r="U18" i="1" s="1"/>
  <c r="V19" i="1"/>
  <c r="V18" i="1" s="1"/>
  <c r="W19" i="1"/>
  <c r="X19" i="1"/>
  <c r="Y19" i="1"/>
  <c r="Y18" i="1" s="1"/>
  <c r="Z19" i="1"/>
  <c r="Z18" i="1" s="1"/>
  <c r="AA19" i="1"/>
  <c r="AB19" i="1"/>
  <c r="AC19" i="1"/>
  <c r="AC18" i="1" s="1"/>
  <c r="E19" i="1"/>
  <c r="E18" i="1" s="1"/>
  <c r="F16" i="1"/>
  <c r="H16" i="1"/>
  <c r="H15" i="1" s="1"/>
  <c r="I16" i="1"/>
  <c r="L16" i="1"/>
  <c r="M16" i="1"/>
  <c r="M15" i="1" s="1"/>
  <c r="N16" i="1"/>
  <c r="N15" i="1" s="1"/>
  <c r="O16" i="1"/>
  <c r="O15" i="1" s="1"/>
  <c r="P16" i="1"/>
  <c r="P15" i="1" s="1"/>
  <c r="Q16" i="1"/>
  <c r="Q15" i="1" s="1"/>
  <c r="R16" i="1"/>
  <c r="R15" i="1" s="1"/>
  <c r="S16" i="1"/>
  <c r="S15" i="1" s="1"/>
  <c r="T16" i="1"/>
  <c r="T15" i="1" s="1"/>
  <c r="U16" i="1"/>
  <c r="U15" i="1" s="1"/>
  <c r="V16" i="1"/>
  <c r="V15" i="1" s="1"/>
  <c r="W16" i="1"/>
  <c r="W15" i="1" s="1"/>
  <c r="X16" i="1"/>
  <c r="X15" i="1" s="1"/>
  <c r="Y16" i="1"/>
  <c r="Y15" i="1" s="1"/>
  <c r="Z16" i="1"/>
  <c r="Z15" i="1" s="1"/>
  <c r="AA16" i="1"/>
  <c r="AA15" i="1" s="1"/>
  <c r="AB16" i="1"/>
  <c r="AB15" i="1" s="1"/>
  <c r="AC16" i="1"/>
  <c r="AC15" i="1" s="1"/>
  <c r="E16" i="1"/>
  <c r="E15" i="1" s="1"/>
  <c r="H4" i="1"/>
  <c r="I4" i="1"/>
  <c r="K5" i="1"/>
  <c r="L5" i="1"/>
  <c r="L4" i="1" s="1"/>
  <c r="M5" i="1"/>
  <c r="N5" i="1"/>
  <c r="N4" i="1" s="1"/>
  <c r="O5" i="1"/>
  <c r="O4" i="1" s="1"/>
  <c r="P5" i="1"/>
  <c r="Q5" i="1"/>
  <c r="Q4" i="1" s="1"/>
  <c r="R5" i="1"/>
  <c r="R4" i="1" s="1"/>
  <c r="S5" i="1"/>
  <c r="T5" i="1"/>
  <c r="T4" i="1" s="1"/>
  <c r="U5" i="1"/>
  <c r="U4" i="1" s="1"/>
  <c r="V5" i="1"/>
  <c r="W5" i="1"/>
  <c r="W4" i="1" s="1"/>
  <c r="X5" i="1"/>
  <c r="X4" i="1" s="1"/>
  <c r="Y5" i="1"/>
  <c r="Y4" i="1" s="1"/>
  <c r="Z5" i="1"/>
  <c r="Z4" i="1" s="1"/>
  <c r="AA5" i="1"/>
  <c r="AA4" i="1" s="1"/>
  <c r="AB5" i="1"/>
  <c r="AB4" i="1" s="1"/>
  <c r="AC5" i="1"/>
  <c r="AC4" i="1" s="1"/>
  <c r="V4" i="1"/>
  <c r="E4" i="1"/>
  <c r="E139" i="1" l="1"/>
  <c r="J175" i="1"/>
  <c r="J139" i="1"/>
  <c r="J65" i="1"/>
  <c r="H115" i="1"/>
  <c r="G139" i="1"/>
  <c r="E115" i="1"/>
  <c r="J115" i="1" s="1"/>
  <c r="F115" i="1"/>
  <c r="H60" i="1"/>
  <c r="V240" i="1"/>
  <c r="I60" i="1"/>
  <c r="G65" i="1"/>
  <c r="E60" i="1"/>
  <c r="F60" i="1"/>
  <c r="AC115" i="1"/>
  <c r="Y115" i="1"/>
  <c r="U115" i="1"/>
  <c r="Q115" i="1"/>
  <c r="AA230" i="1"/>
  <c r="W230" i="1"/>
  <c r="O230" i="1"/>
  <c r="AC240" i="1"/>
  <c r="Y240" i="1"/>
  <c r="U240" i="1"/>
  <c r="AC175" i="1"/>
  <c r="Y175" i="1"/>
  <c r="Q240" i="1"/>
  <c r="M240" i="1"/>
  <c r="N115" i="1"/>
  <c r="U175" i="1"/>
  <c r="E99" i="1"/>
  <c r="F99" i="1"/>
  <c r="AB240" i="1"/>
  <c r="E240" i="1"/>
  <c r="R175" i="1"/>
  <c r="H175" i="1"/>
  <c r="Q139" i="1"/>
  <c r="T240" i="1"/>
  <c r="Q175" i="1"/>
  <c r="M175" i="1"/>
  <c r="O175" i="1"/>
  <c r="V115" i="1"/>
  <c r="E230" i="1"/>
  <c r="AC69" i="1"/>
  <c r="Z139" i="1"/>
  <c r="V139" i="1"/>
  <c r="P175" i="1"/>
  <c r="L175" i="1"/>
  <c r="G232" i="1"/>
  <c r="J233" i="1"/>
  <c r="G236" i="1"/>
  <c r="G243" i="1"/>
  <c r="K123" i="1"/>
  <c r="L115" i="1"/>
  <c r="J237" i="1"/>
  <c r="Z240" i="1"/>
  <c r="R240" i="1"/>
  <c r="J245" i="1"/>
  <c r="N175" i="1"/>
  <c r="J232" i="1"/>
  <c r="G233" i="1"/>
  <c r="J236" i="1"/>
  <c r="J243" i="1"/>
  <c r="H240" i="1"/>
  <c r="Z175" i="1"/>
  <c r="V175" i="1"/>
  <c r="G237" i="1"/>
  <c r="X240" i="1"/>
  <c r="G245" i="1"/>
  <c r="N139" i="1"/>
  <c r="AC139" i="1"/>
  <c r="Y139" i="1"/>
  <c r="U139" i="1"/>
  <c r="AB60" i="1"/>
  <c r="X60" i="1"/>
  <c r="T60" i="1"/>
  <c r="K96" i="1"/>
  <c r="H99" i="1"/>
  <c r="K102" i="1"/>
  <c r="K113" i="1"/>
  <c r="Z230" i="1"/>
  <c r="V230" i="1"/>
  <c r="R230" i="1"/>
  <c r="N230" i="1"/>
  <c r="Z60" i="1"/>
  <c r="V60" i="1"/>
  <c r="N60" i="1"/>
  <c r="K151" i="1"/>
  <c r="K153" i="1"/>
  <c r="K156" i="1"/>
  <c r="K160" i="1"/>
  <c r="K164" i="1"/>
  <c r="K189" i="1"/>
  <c r="K209" i="1"/>
  <c r="AB230" i="1"/>
  <c r="X230" i="1"/>
  <c r="Z99" i="1"/>
  <c r="V99" i="1"/>
  <c r="R99" i="1"/>
  <c r="N99" i="1"/>
  <c r="AC99" i="1"/>
  <c r="Y99" i="1"/>
  <c r="U99" i="1"/>
  <c r="Q99" i="1"/>
  <c r="AA47" i="1"/>
  <c r="W47" i="1"/>
  <c r="O47" i="1"/>
  <c r="AC60" i="1"/>
  <c r="Y60" i="1"/>
  <c r="U60" i="1"/>
  <c r="Q60" i="1"/>
  <c r="M60" i="1"/>
  <c r="AC230" i="1"/>
  <c r="Y230" i="1"/>
  <c r="U230" i="1"/>
  <c r="Q230" i="1"/>
  <c r="H230" i="1"/>
  <c r="AA240" i="1"/>
  <c r="W240" i="1"/>
  <c r="O240" i="1"/>
  <c r="AA18" i="1"/>
  <c r="W18" i="1"/>
  <c r="S18" i="1"/>
  <c r="O18" i="1"/>
  <c r="AC47" i="1"/>
  <c r="Y47" i="1"/>
  <c r="U47" i="1"/>
  <c r="Q47" i="1"/>
  <c r="K51" i="1"/>
  <c r="AA60" i="1"/>
  <c r="W60" i="1"/>
  <c r="S60" i="1"/>
  <c r="O60" i="1"/>
  <c r="E69" i="1"/>
  <c r="Z69" i="1"/>
  <c r="V69" i="1"/>
  <c r="R69" i="1"/>
  <c r="K70" i="1"/>
  <c r="N69" i="1"/>
  <c r="G102" i="1"/>
  <c r="AA115" i="1"/>
  <c r="W115" i="1"/>
  <c r="K116" i="1"/>
  <c r="O115" i="1"/>
  <c r="AA139" i="1"/>
  <c r="W139" i="1"/>
  <c r="O139" i="1"/>
  <c r="AA175" i="1"/>
  <c r="W175" i="1"/>
  <c r="S175" i="1"/>
  <c r="AA195" i="1"/>
  <c r="W195" i="1"/>
  <c r="S195" i="1"/>
  <c r="O195" i="1"/>
  <c r="L15" i="1"/>
  <c r="K15" i="1" s="1"/>
  <c r="K16" i="1"/>
  <c r="R60" i="1"/>
  <c r="K61" i="1"/>
  <c r="L171" i="1"/>
  <c r="K171" i="1" s="1"/>
  <c r="K172" i="1"/>
  <c r="I230" i="1"/>
  <c r="K63" i="1"/>
  <c r="K131" i="1"/>
  <c r="N240" i="1"/>
  <c r="K7" i="1"/>
  <c r="K4" i="1" s="1"/>
  <c r="AB18" i="1"/>
  <c r="X18" i="1"/>
  <c r="T18" i="1"/>
  <c r="L18" i="1"/>
  <c r="K19" i="1"/>
  <c r="R47" i="1"/>
  <c r="R65" i="1"/>
  <c r="K65" i="1" s="1"/>
  <c r="K66" i="1"/>
  <c r="AA69" i="1"/>
  <c r="W69" i="1"/>
  <c r="O69" i="1"/>
  <c r="H69" i="1"/>
  <c r="K93" i="1"/>
  <c r="AB99" i="1"/>
  <c r="X99" i="1"/>
  <c r="T99" i="1"/>
  <c r="K104" i="1"/>
  <c r="K134" i="1"/>
  <c r="AB139" i="1"/>
  <c r="X139" i="1"/>
  <c r="T139" i="1"/>
  <c r="P139" i="1"/>
  <c r="K142" i="1"/>
  <c r="K145" i="1"/>
  <c r="K148" i="1"/>
  <c r="L168" i="1"/>
  <c r="K168" i="1" s="1"/>
  <c r="K169" i="1"/>
  <c r="AB175" i="1"/>
  <c r="X175" i="1"/>
  <c r="T175" i="1"/>
  <c r="K181" i="1"/>
  <c r="K186" i="1"/>
  <c r="AB195" i="1"/>
  <c r="X195" i="1"/>
  <c r="T195" i="1"/>
  <c r="P195" i="1"/>
  <c r="L195" i="1"/>
  <c r="K212" i="1"/>
  <c r="K239" i="1" s="1"/>
  <c r="K230" i="1" s="1"/>
  <c r="T230" i="1"/>
  <c r="F230" i="1"/>
  <c r="F240" i="1"/>
  <c r="F4" i="1"/>
  <c r="G4" i="1" s="1"/>
  <c r="M115" i="1"/>
  <c r="K125" i="1"/>
  <c r="I240" i="1"/>
  <c r="J240" i="1" s="1"/>
  <c r="K240" i="1"/>
  <c r="K221" i="1"/>
  <c r="K222" i="1"/>
  <c r="L214" i="1"/>
  <c r="K214" i="1" s="1"/>
  <c r="K217" i="1"/>
  <c r="K176" i="1"/>
  <c r="R139" i="1"/>
  <c r="L31" i="1"/>
  <c r="K31" i="1" s="1"/>
  <c r="K32" i="1"/>
  <c r="Z115" i="1"/>
  <c r="M99" i="1"/>
  <c r="M230" i="1"/>
  <c r="L99" i="1"/>
  <c r="K100" i="1"/>
  <c r="S139" i="1"/>
  <c r="S115" i="1"/>
  <c r="S240" i="1"/>
  <c r="S47" i="1"/>
  <c r="S4" i="1"/>
  <c r="L139" i="1"/>
  <c r="L69" i="1"/>
  <c r="L230" i="1"/>
  <c r="L240" i="1"/>
  <c r="M139" i="1"/>
  <c r="M195" i="1"/>
  <c r="N18" i="1"/>
  <c r="P99" i="1"/>
  <c r="P60" i="1"/>
  <c r="P240" i="1"/>
  <c r="P18" i="1"/>
  <c r="P230" i="1"/>
  <c r="P4" i="1"/>
  <c r="M4" i="1"/>
  <c r="I31" i="1"/>
  <c r="J31" i="1" s="1"/>
  <c r="J51" i="1"/>
  <c r="J63" i="1"/>
  <c r="G66" i="1"/>
  <c r="AB69" i="1"/>
  <c r="X69" i="1"/>
  <c r="T69" i="1"/>
  <c r="P69" i="1"/>
  <c r="G73" i="1"/>
  <c r="J113" i="1"/>
  <c r="AB115" i="1"/>
  <c r="X115" i="1"/>
  <c r="T115" i="1"/>
  <c r="P115" i="1"/>
  <c r="G125" i="1"/>
  <c r="J134" i="1"/>
  <c r="J151" i="1"/>
  <c r="G156" i="1"/>
  <c r="J164" i="1"/>
  <c r="J172" i="1"/>
  <c r="G186" i="1"/>
  <c r="J209" i="1"/>
  <c r="G16" i="1"/>
  <c r="G19" i="1"/>
  <c r="J61" i="1"/>
  <c r="G70" i="1"/>
  <c r="J82" i="1"/>
  <c r="G96" i="1"/>
  <c r="G100" i="1"/>
  <c r="J131" i="1"/>
  <c r="J148" i="1"/>
  <c r="J189" i="1"/>
  <c r="J198" i="1"/>
  <c r="G214" i="1"/>
  <c r="G51" i="1"/>
  <c r="G63" i="1"/>
  <c r="J66" i="1"/>
  <c r="J73" i="1"/>
  <c r="AA99" i="1"/>
  <c r="W99" i="1"/>
  <c r="S99" i="1"/>
  <c r="O99" i="1"/>
  <c r="J102" i="1"/>
  <c r="G113" i="1"/>
  <c r="J125" i="1"/>
  <c r="G134" i="1"/>
  <c r="G151" i="1"/>
  <c r="J156" i="1"/>
  <c r="G164" i="1"/>
  <c r="G172" i="1"/>
  <c r="J186" i="1"/>
  <c r="G209" i="1"/>
  <c r="J4" i="1"/>
  <c r="J16" i="1"/>
  <c r="J19" i="1"/>
  <c r="F18" i="1"/>
  <c r="G18" i="1" s="1"/>
  <c r="G61" i="1"/>
  <c r="J70" i="1"/>
  <c r="G82" i="1"/>
  <c r="J96" i="1"/>
  <c r="J100" i="1"/>
  <c r="G131" i="1"/>
  <c r="G148" i="1"/>
  <c r="G189" i="1"/>
  <c r="F69" i="1"/>
  <c r="I15" i="1"/>
  <c r="J15" i="1" s="1"/>
  <c r="I99" i="1"/>
  <c r="J99" i="1" s="1"/>
  <c r="I18" i="1"/>
  <c r="F31" i="1"/>
  <c r="G31" i="1" s="1"/>
  <c r="I69" i="1"/>
  <c r="J69" i="1" s="1"/>
  <c r="F15" i="1"/>
  <c r="G175" i="1"/>
  <c r="G221" i="1"/>
  <c r="J221" i="1"/>
  <c r="F171" i="1"/>
  <c r="G171" i="1" s="1"/>
  <c r="J171" i="1"/>
  <c r="J60" i="1" l="1"/>
  <c r="G115" i="1"/>
  <c r="G60" i="1"/>
  <c r="E228" i="1"/>
  <c r="G240" i="1"/>
  <c r="F228" i="1"/>
  <c r="G99" i="1"/>
  <c r="J230" i="1"/>
  <c r="Z228" i="1"/>
  <c r="K175" i="1"/>
  <c r="K60" i="1"/>
  <c r="AC228" i="1"/>
  <c r="Q228" i="1"/>
  <c r="G230" i="1"/>
  <c r="K229" i="1"/>
  <c r="V228" i="1"/>
  <c r="N228" i="1"/>
  <c r="Y228" i="1"/>
  <c r="U228" i="1"/>
  <c r="R228" i="1"/>
  <c r="T228" i="1"/>
  <c r="O228" i="1"/>
  <c r="X228" i="1"/>
  <c r="M228" i="1"/>
  <c r="K195" i="1"/>
  <c r="AB228" i="1"/>
  <c r="W228" i="1"/>
  <c r="P228" i="1"/>
  <c r="AA228" i="1"/>
  <c r="I228" i="1"/>
  <c r="L228" i="1"/>
  <c r="G69" i="1"/>
  <c r="K18" i="1"/>
  <c r="J18" i="1"/>
  <c r="G15" i="1"/>
  <c r="K47" i="1"/>
  <c r="K99" i="1"/>
  <c r="K115" i="1"/>
  <c r="K139" i="1"/>
  <c r="S236" i="1"/>
  <c r="S230" i="1"/>
  <c r="J228" i="1" l="1"/>
  <c r="G228" i="1"/>
  <c r="N229" i="1"/>
  <c r="AC229" i="1"/>
  <c r="AB229" i="1" s="1"/>
  <c r="S69" i="1"/>
  <c r="S228" i="1" s="1"/>
  <c r="K73" i="1"/>
  <c r="K69" i="1" l="1"/>
  <c r="K228" i="1" s="1"/>
</calcChain>
</file>

<file path=xl/sharedStrings.xml><?xml version="1.0" encoding="utf-8"?>
<sst xmlns="http://schemas.openxmlformats.org/spreadsheetml/2006/main" count="505" uniqueCount="318">
  <si>
    <t>Dział</t>
  </si>
  <si>
    <t>Rozdział</t>
  </si>
  <si>
    <t>Paragraf</t>
  </si>
  <si>
    <t>Treść</t>
  </si>
  <si>
    <t>010</t>
  </si>
  <si>
    <t>Rolnictwo i łowiectwo</t>
  </si>
  <si>
    <t>01042</t>
  </si>
  <si>
    <t>Wyłączenie z produkcji gruntów rolnych</t>
  </si>
  <si>
    <t>2710</t>
  </si>
  <si>
    <t>Dotacja celowa otrzymana z tytułu pomocy finansowej udzielanej między jednostkami samorządu terytorialnego na dofinansowanie własnych zadań bieżących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</si>
  <si>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</si>
  <si>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</si>
  <si>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</si>
  <si>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</si>
  <si>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</si>
  <si>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</si>
  <si>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</si>
  <si>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</si>
  <si>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</si>
  <si>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</si>
  <si>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05095</t>
  </si>
  <si>
    <t>0690</t>
  </si>
  <si>
    <t>Wpływy z różnych opłat</t>
  </si>
  <si>
    <t>600</t>
  </si>
  <si>
    <t>Transport i łączność</t>
  </si>
  <si>
    <t>60013</t>
  </si>
  <si>
    <t>Drogi publiczne wojewódzkie</t>
  </si>
  <si>
    <t>2330</t>
  </si>
  <si>
    <t>Dotacje celowe otrzymane od samorządu województwa na zadania bieżące realizowane na podstawie porozumień (umów) między jednostkami samorządu terytorialnego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</si>
  <si>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</si>
  <si>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</si>
  <si>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</si>
  <si>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</si>
  <si>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</si>
  <si>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</si>
  <si>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</si>
  <si>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</si>
  <si>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</si>
  <si>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</si>
  <si>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</si>
  <si>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</si>
  <si>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</si>
  <si>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</si>
  <si>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</si>
  <si>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</si>
  <si>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</si>
  <si>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</si>
  <si>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6290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</si>
  <si>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</si>
  <si>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</si>
  <si>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</si>
  <si>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</si>
  <si>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</si>
  <si>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</si>
  <si>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</si>
  <si>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Wpływy z tytułu grzywien, mandatów i innych kar pieniężnych od osób fizycznych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</si>
  <si>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</si>
  <si>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</si>
  <si>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</si>
  <si>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</si>
  <si>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</si>
  <si>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</si>
  <si>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</si>
  <si>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</si>
  <si>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</si>
  <si>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</si>
  <si>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</si>
  <si>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</si>
  <si>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</si>
  <si>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</si>
  <si>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</si>
  <si>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</si>
  <si>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</si>
  <si>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</si>
  <si>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</si>
  <si>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</si>
  <si>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</si>
  <si>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</si>
  <si>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</si>
  <si>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</si>
  <si>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</si>
  <si>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</si>
  <si>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</si>
  <si>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</si>
  <si>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</si>
  <si>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</si>
  <si>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</si>
  <si>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</si>
  <si>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</si>
  <si>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</si>
  <si>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</si>
  <si>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</si>
  <si>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</si>
  <si>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</si>
  <si>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</si>
  <si>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</si>
  <si>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0640</t>
  </si>
  <si>
    <t>Wpływy z tytułu kosztów egzekucyjnych, opłaty komorniczej i kosztów upomnień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</si>
  <si>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</si>
  <si>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</si>
  <si>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</si>
  <si>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</si>
  <si>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</si>
  <si>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</si>
  <si>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</si>
  <si>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</si>
  <si>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</si>
  <si>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</si>
  <si>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</si>
  <si>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</si>
  <si>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</si>
  <si>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</si>
  <si>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</si>
  <si>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</si>
  <si>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</si>
  <si>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</si>
  <si>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</si>
  <si>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</si>
  <si>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</si>
  <si>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</si>
  <si>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Wpływy z pozostałych odsetek</t>
  </si>
  <si>
    <t>0940</t>
  </si>
  <si>
    <t>Wpływy z rozliczeń/zwrotów z lat ubiegłych</t>
  </si>
  <si>
    <t>2030</t>
  </si>
  <si>
    <t>Dotacje celowe otrzymane z budżetu państwa na realizację własnych zadań bieżących gmin (związków gmin, związków powiatowo-gminnych)</t>
  </si>
  <si>
    <t>Wpłata środków finansowych z niewykorzystanych w terminie wydatków, które nie wygasają z upływem roku budżetowego</t>
  </si>
  <si>
    <t>6330</t>
  </si>
  <si>
    <t>Dotacje celowe otrzymane z budżetu państwa na realizację inwestycji i zakupów inwestycyjnych własnych gmin (związków gmin, związków powiatowo-gminnych)</t>
  </si>
  <si>
    <t>6680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</si>
  <si>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</si>
  <si>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</si>
  <si>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</si>
  <si>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</si>
  <si>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</si>
  <si>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</si>
  <si>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</si>
  <si>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</si>
  <si>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</si>
  <si>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</si>
  <si>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</si>
  <si>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</si>
  <si>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</si>
  <si>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</si>
  <si>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</si>
  <si>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80148</t>
  </si>
  <si>
    <t>Stołówki szkolne i przedszkolne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</si>
  <si>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</si>
  <si>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</si>
  <si>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80153</t>
  </si>
  <si>
    <t>Zapewnienie uczniom prawa do bezpłatnego dostępu do podręczników, materiałów edukacyjnych lub materiałów ćwiczeniowych</t>
  </si>
  <si>
    <t>2057</t>
  </si>
  <si>
    <t>2059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</si>
  <si>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</si>
  <si>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</si>
  <si>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</si>
  <si>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</si>
  <si>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</si>
  <si>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</si>
  <si>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</si>
  <si>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</si>
  <si>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</si>
  <si>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</si>
  <si>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</si>
  <si>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</si>
  <si>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</si>
  <si>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</si>
  <si>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</si>
  <si>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</si>
  <si>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</si>
  <si>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</si>
  <si>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2360</t>
  </si>
  <si>
    <t>Dochody jednostek samorządu terytorialnego związane z realizacją zadań z zakresu administracji rządowej oraz innych zadań zleconych ustawami</t>
  </si>
  <si>
    <t>85230</t>
  </si>
  <si>
    <t>Pomoc w zakresie dożywiania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</si>
  <si>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</si>
  <si>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</si>
  <si>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</si>
  <si>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</si>
  <si>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</si>
  <si>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</si>
  <si>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</si>
  <si>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</si>
  <si>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</si>
  <si>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</si>
  <si>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</si>
  <si>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</si>
  <si>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</si>
  <si>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</si>
  <si>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</si>
  <si>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</si>
  <si>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</si>
  <si>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</si>
  <si>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</si>
  <si>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</si>
  <si>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</si>
  <si>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</si>
  <si>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</si>
  <si>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</si>
  <si>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</si>
  <si>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</si>
  <si>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</si>
  <si>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</si>
  <si>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</si>
  <si>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</si>
  <si>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</si>
  <si>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</si>
  <si>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</si>
  <si>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</si>
  <si>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</si>
  <si>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</si>
  <si>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6320</t>
  </si>
  <si>
    <t>Dotacje celowe otrzymane z budżetu państwa na inwestycje i zakupy inwestycyjne realizowane przez gminę na podstawie porozumień z organami administracji rządowej</t>
  </si>
  <si>
    <t>Razem:</t>
  </si>
  <si>
    <t>630</t>
  </si>
  <si>
    <t>Turystyka</t>
  </si>
  <si>
    <t>63095</t>
  </si>
  <si>
    <t>710</t>
  </si>
  <si>
    <t>Działalność usługowa</t>
  </si>
  <si>
    <t>71035</t>
  </si>
  <si>
    <t>Cmentarze</t>
  </si>
  <si>
    <t>75075</t>
  </si>
  <si>
    <t>851</t>
  </si>
  <si>
    <t>Ochrona zdrowia</t>
  </si>
  <si>
    <t>85195</t>
  </si>
  <si>
    <t>85202</t>
  </si>
  <si>
    <t>Domy pomocy społecznej</t>
  </si>
  <si>
    <t>85295</t>
  </si>
  <si>
    <t>90001</t>
  </si>
  <si>
    <t>Gospodarka ściekowa i ochrona wód</t>
  </si>
  <si>
    <t>90004</t>
  </si>
  <si>
    <t>Utrzymanie zieleni w miastach i gminach</t>
  </si>
  <si>
    <t>90013</t>
  </si>
  <si>
    <t>90015</t>
  </si>
  <si>
    <t>Oświetlenie ulic, placów i dróg</t>
  </si>
  <si>
    <t>92105</t>
  </si>
  <si>
    <t>92695</t>
  </si>
  <si>
    <t>% wykonania</t>
  </si>
  <si>
    <t>WGNiOŚ</t>
  </si>
  <si>
    <t>WOiSO</t>
  </si>
  <si>
    <t>WF</t>
  </si>
  <si>
    <t>Straż Miejska</t>
  </si>
  <si>
    <t>GOPS</t>
  </si>
  <si>
    <t>Razem jednostki oświatowe</t>
  </si>
  <si>
    <t>SP nr 3</t>
  </si>
  <si>
    <t>SP nr 2</t>
  </si>
  <si>
    <t>SP Gościejewo</t>
  </si>
  <si>
    <t>SP Parkowo</t>
  </si>
  <si>
    <t>SP Pruśce</t>
  </si>
  <si>
    <t>Sp Budziszewko</t>
  </si>
  <si>
    <t>Przedszkole nr 1</t>
  </si>
  <si>
    <t>Przedszkole nr 2</t>
  </si>
  <si>
    <t>Przedszkole Parkowo</t>
  </si>
  <si>
    <t>CUW</t>
  </si>
  <si>
    <t>Razem:
UM</t>
  </si>
  <si>
    <t>ORGAN</t>
  </si>
  <si>
    <t xml:space="preserve">Dochody bieżące </t>
  </si>
  <si>
    <t>w tym:</t>
  </si>
  <si>
    <t>1)</t>
  </si>
  <si>
    <t>udziały w PIT</t>
  </si>
  <si>
    <t>2)</t>
  </si>
  <si>
    <t>udziały w CIT</t>
  </si>
  <si>
    <t>3)</t>
  </si>
  <si>
    <t>podatki i opłaty</t>
  </si>
  <si>
    <t>a) podatek od nieruchomości</t>
  </si>
  <si>
    <t>4)</t>
  </si>
  <si>
    <t>subwencja ogólna</t>
  </si>
  <si>
    <t>dotacje i środki na cele bieżące</t>
  </si>
  <si>
    <t>5)</t>
  </si>
  <si>
    <t>6)</t>
  </si>
  <si>
    <t>pozostałe dochody</t>
  </si>
  <si>
    <t>Dochody majatkowe</t>
  </si>
  <si>
    <t>ze sprzedaży majątku</t>
  </si>
  <si>
    <t>wpływy z tytułu przekszałcenia prawa użytkowania wieczystego przysługującegoosobom fizycznym w prawo własności</t>
  </si>
  <si>
    <t>dotacje i środki na inwestycje</t>
  </si>
  <si>
    <t>wplywy środków finansowych z niewykorzstanych w terminie wydatków, które nie wygasają z upływem roku budżetowego</t>
  </si>
  <si>
    <t>020</t>
  </si>
  <si>
    <t>Leśnictwo</t>
  </si>
  <si>
    <t>Gospodarka leśna</t>
  </si>
  <si>
    <t>0870</t>
  </si>
  <si>
    <t>Promocja jednostek samaorządu terytorialnego</t>
  </si>
  <si>
    <t>Wpływy ze sprzedaży wyrobów</t>
  </si>
  <si>
    <t>0840</t>
  </si>
  <si>
    <t>Wpływy ze sprzedaży składników majątkowych</t>
  </si>
  <si>
    <t>0580</t>
  </si>
  <si>
    <t>Wpływy z tytułu grzywien i innych kar pieniężnych od osób prawnych i innych jednostek organizacyjnych</t>
  </si>
  <si>
    <t>Wplywy z pozostałych odsetek</t>
  </si>
  <si>
    <t>85513</t>
  </si>
  <si>
    <t>Składki na ubezpieczenie zdrowotne opłacane za osoby pobierające niektóre świadczenia świadczenia rodzinne, zgodnie z przepisami ustawy o świadczeniach rozdzinnych oraz za osoby pobierające zasiłki dla opiekunów, zgodnie z przepisami ustawy z dnia 4 kwietnia 2014 r. o ustaleniu i wypłacie zasiłków dla opiekunów</t>
  </si>
  <si>
    <t>suma kontrolna</t>
  </si>
  <si>
    <t>02001</t>
  </si>
  <si>
    <t>0950</t>
  </si>
  <si>
    <t>2040</t>
  </si>
  <si>
    <t>Załącznik nr 1 - materiały informacyjne
do projektu budżetu na 2021 rok</t>
  </si>
  <si>
    <t>Plan i wykonanie dochodow budźetu Gminy Rogoźno za 2020 rok - stan na dzień 30.09.2020 roku w porówaniu z projektem planu dochodow na 2021 rok (wskaźnik procentowy) oraz przewidywane wykonanie dochodów na koniec 2020 roku</t>
  </si>
  <si>
    <t>Plan obowiązujący na dzień: 
30.09.2020 roku</t>
  </si>
  <si>
    <t>Wykonanie
 na dzień:
30-09-2020r.</t>
  </si>
  <si>
    <t>Przewidywane wykonanie wydatków na koniec 2020 roku</t>
  </si>
  <si>
    <t>Plan 
na 2021 rok</t>
  </si>
  <si>
    <t>% wskaźnik
wzrostu/
spadku 
do planu 
2020 roku</t>
  </si>
  <si>
    <t>2950</t>
  </si>
  <si>
    <t>6350</t>
  </si>
  <si>
    <t>2020</t>
  </si>
  <si>
    <t>75056</t>
  </si>
  <si>
    <t>75107</t>
  </si>
  <si>
    <t>75816</t>
  </si>
  <si>
    <t>Dotacja celowa otrzymana z budżetu państwa na zadania bieżące realizowane przez gminę na podstawie porozumień z organami administracji rządowej</t>
  </si>
  <si>
    <t>Wybory Prezydenta Rzeczypospolitej Polskiej</t>
  </si>
  <si>
    <t>Wpływy do rozliczenia</t>
  </si>
  <si>
    <t>Środki na dofinansowanie własnych inwestycji gmin, powiatów (zwiazków gmin, związków powiatowo-gminnych, zwiazków powiatów), samorządów województw, pozyskane z innych źródeł</t>
  </si>
  <si>
    <t>Dotacja celowa w ramach programów finansowanych z udziałem środków europejskich oraz środków, o których mowa w art. 5 ust.3 pkt 5 lit.a i b ustawy, lub płatności w ramach budżetu środków europejskich, realizowanych przez jednostki samorządu terytorialnego</t>
  </si>
  <si>
    <t>Dotacja celowa otrzymana z gminy na zadania bieżące realizowane na podstawie porozumień (umów) między jednostkami samorządu terytorialnego</t>
  </si>
  <si>
    <t>Wpływy ze zwrotów niewykorzystanych dotacji oraz płatności</t>
  </si>
  <si>
    <t>Środki otrzymane z państwowych funduszy celowych na finansowanie lub dofinansowanie kosztów realizacji inwestycji i zakupów inwestycyjnych jednostek sektora finansów pubicznych</t>
  </si>
  <si>
    <t>Wpływy z tytułu kar i odszkodowań wynikających z umów</t>
  </si>
  <si>
    <t>Spis powszechny i inne</t>
  </si>
  <si>
    <t>Dotacja celowa otrzymana z budżetu państwa na realizację zadań bieżących gmin z zakresu edukacyjnej opieki wychowawczej finansowanych w całości przez budżet państwa w ramach programów rządowych</t>
  </si>
  <si>
    <t>Schronisko dla zwierząt</t>
  </si>
  <si>
    <t>Pozostałw zadania z zakresu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</si>
</sst>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8.5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3"/>
        <bgColor indexed="3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0"/>
      </patternFill>
    </fill>
    <fill>
      <patternFill patternType="solid">
        <fgColor rgb="FF99FF33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0">
    <xf numFmtId="0" fontId="0" fillId="0" borderId="0"/>
    <xf numFmtId="0" fontId="2" fillId="0" borderId="0" applyNumberFormat="0" applyFill="0" applyBorder="0" applyAlignment="0" applyProtection="0">
      <alignment vertical="top"/>
    </xf>
    <xf numFmtId="0" fontId="11" fillId="3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top"/>
    </xf>
    <xf numFmtId="0" fontId="1" fillId="0" borderId="0"/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1" fillId="0" borderId="0"/>
  </cellStyleXfs>
  <cellXfs count="171">
    <xf numFmtId="0" fontId="0" fillId="0" borderId="0" xfId="0"/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14" fillId="0" borderId="1" xfId="4" applyNumberFormat="1" applyFont="1" applyFill="1" applyBorder="1" applyAlignment="1" applyProtection="1">
      <alignment horizontal="left" vertical="top" wrapText="1"/>
      <protection locked="0"/>
    </xf>
    <xf numFmtId="0" fontId="5" fillId="0" borderId="1" xfId="4" applyNumberFormat="1" applyFont="1" applyFill="1" applyBorder="1" applyAlignment="1" applyProtection="1">
      <alignment horizontal="left" vertical="top" wrapText="1"/>
      <protection locked="0"/>
    </xf>
    <xf numFmtId="4" fontId="16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top" wrapText="1"/>
      <protection locked="0"/>
    </xf>
    <xf numFmtId="4" fontId="17" fillId="5" borderId="2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2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7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Border="1" applyAlignment="1" applyProtection="1">
      <alignment horizontal="righ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9" xfId="1" applyNumberFormat="1" applyFont="1" applyFill="1" applyBorder="1" applyAlignment="1" applyProtection="1">
      <alignment horizontal="left"/>
      <protection locked="0"/>
    </xf>
    <xf numFmtId="0" fontId="18" fillId="0" borderId="9" xfId="1" applyNumberFormat="1" applyFont="1" applyFill="1" applyBorder="1" applyAlignment="1" applyProtection="1">
      <alignment horizontal="left"/>
      <protection locked="0"/>
    </xf>
    <xf numFmtId="0" fontId="14" fillId="0" borderId="9" xfId="1" applyNumberFormat="1" applyFont="1" applyFill="1" applyBorder="1" applyAlignment="1" applyProtection="1">
      <alignment horizontal="right"/>
      <protection locked="0"/>
    </xf>
    <xf numFmtId="0" fontId="14" fillId="0" borderId="9" xfId="1" applyNumberFormat="1" applyFont="1" applyFill="1" applyBorder="1" applyAlignment="1" applyProtection="1">
      <alignment horizontal="right" vertical="top"/>
      <protection locked="0"/>
    </xf>
    <xf numFmtId="0" fontId="18" fillId="0" borderId="9" xfId="1" applyNumberFormat="1" applyFont="1" applyFill="1" applyBorder="1" applyAlignment="1" applyProtection="1">
      <alignment horizontal="left" vertical="top" wrapText="1"/>
      <protection locked="0"/>
    </xf>
    <xf numFmtId="0" fontId="4" fillId="0" borderId="10" xfId="1" applyNumberFormat="1" applyFont="1" applyFill="1" applyBorder="1" applyAlignment="1" applyProtection="1">
      <alignment horizontal="right"/>
      <protection locked="0"/>
    </xf>
    <xf numFmtId="0" fontId="18" fillId="0" borderId="10" xfId="1" applyNumberFormat="1" applyFont="1" applyFill="1" applyBorder="1" applyAlignment="1" applyProtection="1">
      <alignment horizontal="left"/>
      <protection locked="0"/>
    </xf>
    <xf numFmtId="0" fontId="4" fillId="0" borderId="10" xfId="1" applyNumberFormat="1" applyFont="1" applyFill="1" applyBorder="1" applyAlignment="1" applyProtection="1">
      <alignment horizontal="left"/>
      <protection locked="0"/>
    </xf>
    <xf numFmtId="0" fontId="4" fillId="0" borderId="12" xfId="1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Fill="1" applyBorder="1" applyAlignment="1" applyProtection="1">
      <alignment horizontal="right"/>
      <protection locked="0"/>
    </xf>
    <xf numFmtId="0" fontId="18" fillId="0" borderId="13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 applyAlignment="1" applyProtection="1">
      <alignment horizontal="left" vertical="center"/>
      <protection locked="0"/>
    </xf>
    <xf numFmtId="0" fontId="3" fillId="0" borderId="9" xfId="1" applyNumberFormat="1" applyFont="1" applyFill="1" applyBorder="1" applyAlignment="1" applyProtection="1">
      <alignment horizontal="left" vertical="center"/>
      <protection locked="0"/>
    </xf>
    <xf numFmtId="0" fontId="4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1" applyNumberFormat="1" applyFont="1" applyFill="1" applyBorder="1" applyAlignment="1" applyProtection="1">
      <alignment horizontal="left"/>
      <protection locked="0"/>
    </xf>
    <xf numFmtId="4" fontId="19" fillId="0" borderId="9" xfId="1" applyNumberFormat="1" applyFont="1" applyFill="1" applyBorder="1" applyAlignment="1" applyProtection="1">
      <alignment horizontal="right"/>
      <protection locked="0"/>
    </xf>
    <xf numFmtId="4" fontId="19" fillId="0" borderId="9" xfId="1" applyNumberFormat="1" applyFont="1" applyFill="1" applyBorder="1" applyAlignment="1" applyProtection="1">
      <alignment horizontal="right" vertical="top"/>
      <protection locked="0"/>
    </xf>
    <xf numFmtId="4" fontId="5" fillId="0" borderId="9" xfId="1" applyNumberFormat="1" applyFont="1" applyFill="1" applyBorder="1" applyAlignment="1" applyProtection="1">
      <alignment horizontal="right" vertical="center"/>
      <protection locked="0"/>
    </xf>
    <xf numFmtId="4" fontId="16" fillId="0" borderId="1" xfId="1" applyNumberFormat="1" applyFont="1" applyFill="1" applyBorder="1" applyAlignment="1" applyProtection="1">
      <alignment horizontal="right" vertical="center"/>
      <protection locked="0"/>
    </xf>
    <xf numFmtId="4" fontId="16" fillId="0" borderId="7" xfId="1" applyNumberFormat="1" applyFont="1" applyFill="1" applyBorder="1" applyAlignment="1" applyProtection="1">
      <alignment horizontal="right" vertical="center"/>
      <protection locked="0"/>
    </xf>
    <xf numFmtId="4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17" fillId="5" borderId="5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5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13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4" fontId="13" fillId="0" borderId="0" xfId="1" applyNumberFormat="1" applyFont="1" applyFill="1" applyBorder="1" applyAlignment="1" applyProtection="1">
      <alignment horizontal="right" vertical="center"/>
      <protection locked="0"/>
    </xf>
    <xf numFmtId="4" fontId="6" fillId="6" borderId="0" xfId="1" applyNumberFormat="1" applyFont="1" applyFill="1" applyBorder="1" applyAlignment="1" applyProtection="1">
      <alignment horizontal="right" vertical="center"/>
      <protection locked="0"/>
    </xf>
    <xf numFmtId="4" fontId="17" fillId="5" borderId="3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9" xfId="1" applyNumberFormat="1" applyFont="1" applyFill="1" applyBorder="1" applyAlignment="1" applyProtection="1">
      <alignment horizontal="right" vertical="center"/>
      <protection locked="0"/>
    </xf>
    <xf numFmtId="4" fontId="13" fillId="10" borderId="0" xfId="1" applyNumberFormat="1" applyFont="1" applyFill="1" applyBorder="1" applyAlignment="1" applyProtection="1">
      <alignment horizontal="right" vertical="center"/>
      <protection locked="0"/>
    </xf>
    <xf numFmtId="4" fontId="16" fillId="9" borderId="3" xfId="1" applyNumberFormat="1" applyFont="1" applyFill="1" applyBorder="1" applyAlignment="1" applyProtection="1">
      <alignment horizontal="right" vertical="center" wrapText="1"/>
      <protection locked="0"/>
    </xf>
    <xf numFmtId="4" fontId="13" fillId="4" borderId="1" xfId="1" applyNumberFormat="1" applyFont="1" applyFill="1" applyBorder="1" applyAlignment="1" applyProtection="1">
      <alignment horizontal="right" vertical="center"/>
      <protection locked="0"/>
    </xf>
    <xf numFmtId="4" fontId="16" fillId="0" borderId="4" xfId="1" applyNumberFormat="1" applyFont="1" applyFill="1" applyBorder="1" applyAlignment="1" applyProtection="1">
      <alignment horizontal="right" vertical="center"/>
      <protection locked="0"/>
    </xf>
    <xf numFmtId="4" fontId="17" fillId="5" borderId="14" xfId="1" applyNumberFormat="1" applyFont="1" applyFill="1" applyBorder="1" applyAlignment="1" applyProtection="1">
      <alignment horizontal="right" vertical="center" wrapText="1"/>
      <protection locked="0"/>
    </xf>
    <xf numFmtId="4" fontId="17" fillId="5" borderId="19" xfId="1" applyNumberFormat="1" applyFont="1" applyFill="1" applyBorder="1" applyAlignment="1" applyProtection="1">
      <alignment horizontal="right" vertical="center" wrapText="1"/>
      <protection locked="0"/>
    </xf>
    <xf numFmtId="4" fontId="17" fillId="5" borderId="15" xfId="1" applyNumberFormat="1" applyFont="1" applyFill="1" applyBorder="1" applyAlignment="1" applyProtection="1">
      <alignment horizontal="right" vertical="center" wrapText="1"/>
      <protection locked="0"/>
    </xf>
    <xf numFmtId="10" fontId="16" fillId="7" borderId="1" xfId="1" applyNumberFormat="1" applyFont="1" applyFill="1" applyBorder="1" applyAlignment="1" applyProtection="1">
      <alignment horizontal="right" vertical="center" wrapText="1"/>
      <protection locked="0"/>
    </xf>
    <xf numFmtId="4" fontId="17" fillId="5" borderId="1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1" xfId="1" applyNumberFormat="1" applyFont="1" applyFill="1" applyBorder="1" applyAlignment="1" applyProtection="1">
      <alignment horizontal="right" vertical="center" wrapText="1"/>
      <protection locked="0"/>
    </xf>
    <xf numFmtId="4" fontId="16" fillId="10" borderId="1" xfId="1" applyNumberFormat="1" applyFont="1" applyFill="1" applyBorder="1" applyAlignment="1" applyProtection="1">
      <alignment horizontal="right" vertical="center"/>
      <protection locked="0"/>
    </xf>
    <xf numFmtId="4" fontId="16" fillId="9" borderId="14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19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8" borderId="0" xfId="1" applyNumberFormat="1" applyFont="1" applyFill="1" applyBorder="1" applyAlignment="1" applyProtection="1">
      <alignment horizontal="left"/>
      <protection locked="0"/>
    </xf>
    <xf numFmtId="4" fontId="16" fillId="9" borderId="8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20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21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18" xfId="1" applyNumberFormat="1" applyFont="1" applyFill="1" applyBorder="1" applyAlignment="1" applyProtection="1">
      <alignment horizontal="right" vertical="center"/>
      <protection locked="0"/>
    </xf>
    <xf numFmtId="4" fontId="16" fillId="7" borderId="1" xfId="1" applyNumberFormat="1" applyFont="1" applyFill="1" applyBorder="1" applyAlignment="1" applyProtection="1">
      <alignment horizontal="right" vertical="center" wrapText="1"/>
      <protection locked="0"/>
    </xf>
    <xf numFmtId="49" fontId="16" fillId="7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16" fillId="7" borderId="1" xfId="1" applyNumberFormat="1" applyFont="1" applyFill="1" applyBorder="1" applyAlignment="1" applyProtection="1">
      <alignment horizontal="left" vertical="center" wrapText="1"/>
      <protection locked="0"/>
    </xf>
    <xf numFmtId="4" fontId="16" fillId="8" borderId="1" xfId="1" applyNumberFormat="1" applyFont="1" applyFill="1" applyBorder="1" applyAlignment="1" applyProtection="1">
      <alignment horizontal="right" vertical="center"/>
      <protection locked="0"/>
    </xf>
    <xf numFmtId="4" fontId="16" fillId="7" borderId="1" xfId="1" applyNumberFormat="1" applyFont="1" applyFill="1" applyBorder="1" applyAlignment="1" applyProtection="1">
      <alignment vertical="center" wrapText="1"/>
      <protection locked="0"/>
    </xf>
    <xf numFmtId="10" fontId="16" fillId="7" borderId="1" xfId="1" applyNumberFormat="1" applyFont="1" applyFill="1" applyBorder="1" applyAlignment="1" applyProtection="1">
      <alignment vertical="center" wrapText="1"/>
      <protection locked="0"/>
    </xf>
    <xf numFmtId="0" fontId="16" fillId="8" borderId="0" xfId="1" applyNumberFormat="1" applyFont="1" applyFill="1" applyBorder="1" applyAlignment="1" applyProtection="1">
      <alignment horizontal="left"/>
      <protection locked="0"/>
    </xf>
    <xf numFmtId="4" fontId="20" fillId="0" borderId="0" xfId="1" applyNumberFormat="1" applyFont="1" applyFill="1" applyBorder="1" applyAlignment="1" applyProtection="1">
      <alignment horizontal="left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0" fontId="21" fillId="0" borderId="0" xfId="1" applyNumberFormat="1" applyFont="1" applyFill="1" applyBorder="1" applyAlignment="1" applyProtection="1">
      <alignment horizontal="left"/>
      <protection locked="0"/>
    </xf>
    <xf numFmtId="4" fontId="22" fillId="0" borderId="0" xfId="1" applyNumberFormat="1" applyFont="1" applyFill="1" applyBorder="1" applyAlignment="1" applyProtection="1">
      <alignment horizontal="left"/>
      <protection locked="0"/>
    </xf>
    <xf numFmtId="4" fontId="16" fillId="8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4" fontId="4" fillId="0" borderId="0" xfId="1" applyNumberFormat="1" applyFont="1" applyFill="1" applyBorder="1" applyAlignment="1" applyProtection="1">
      <alignment horizontal="left"/>
      <protection locked="0"/>
    </xf>
    <xf numFmtId="0" fontId="23" fillId="0" borderId="0" xfId="1" applyNumberFormat="1" applyFont="1" applyFill="1" applyBorder="1" applyAlignment="1" applyProtection="1">
      <alignment horizontal="center" vertical="top" wrapText="1"/>
      <protection locked="0"/>
    </xf>
    <xf numFmtId="4" fontId="16" fillId="9" borderId="24" xfId="1" applyNumberFormat="1" applyFont="1" applyFill="1" applyBorder="1" applyAlignment="1" applyProtection="1">
      <alignment horizontal="right" vertical="center" wrapText="1"/>
      <protection locked="0"/>
    </xf>
    <xf numFmtId="10" fontId="5" fillId="0" borderId="9" xfId="1" applyNumberFormat="1" applyFont="1" applyFill="1" applyBorder="1" applyAlignment="1" applyProtection="1">
      <alignment horizontal="right" vertical="center"/>
      <protection locked="0"/>
    </xf>
    <xf numFmtId="10" fontId="19" fillId="0" borderId="9" xfId="1" applyNumberFormat="1" applyFont="1" applyFill="1" applyBorder="1" applyAlignment="1" applyProtection="1">
      <alignment horizontal="right" vertical="top"/>
      <protection locked="0"/>
    </xf>
    <xf numFmtId="10" fontId="19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4" fontId="16" fillId="6" borderId="1" xfId="1" applyNumberFormat="1" applyFont="1" applyFill="1" applyBorder="1" applyAlignment="1" applyProtection="1">
      <alignment horizontal="right" vertical="center"/>
      <protection locked="0"/>
    </xf>
    <xf numFmtId="4" fontId="16" fillId="6" borderId="18" xfId="1" applyNumberFormat="1" applyFont="1" applyFill="1" applyBorder="1" applyAlignment="1" applyProtection="1">
      <alignment horizontal="right" vertical="center"/>
      <protection locked="0"/>
    </xf>
    <xf numFmtId="4" fontId="16" fillId="0" borderId="16" xfId="1" applyNumberFormat="1" applyFont="1" applyFill="1" applyBorder="1" applyAlignment="1" applyProtection="1">
      <alignment horizontal="right" vertical="center"/>
      <protection locked="0"/>
    </xf>
    <xf numFmtId="4" fontId="16" fillId="5" borderId="1" xfId="1" applyNumberFormat="1" applyFont="1" applyFill="1" applyBorder="1" applyAlignment="1" applyProtection="1">
      <alignment horizontal="right" vertical="center" wrapText="1"/>
      <protection locked="0"/>
    </xf>
    <xf numFmtId="4" fontId="16" fillId="6" borderId="7" xfId="1" applyNumberFormat="1" applyFont="1" applyFill="1" applyBorder="1" applyAlignment="1" applyProtection="1">
      <alignment horizontal="right" vertical="center"/>
      <protection locked="0"/>
    </xf>
    <xf numFmtId="4" fontId="21" fillId="0" borderId="0" xfId="1" applyNumberFormat="1" applyFont="1" applyFill="1" applyBorder="1" applyAlignment="1" applyProtection="1">
      <alignment horizontal="right" vertical="center"/>
      <protection locked="0"/>
    </xf>
    <xf numFmtId="4" fontId="16" fillId="11" borderId="19" xfId="1" applyNumberFormat="1" applyFont="1" applyFill="1" applyBorder="1" applyAlignment="1" applyProtection="1">
      <alignment horizontal="right" vertical="center" wrapText="1"/>
      <protection locked="0"/>
    </xf>
    <xf numFmtId="4" fontId="16" fillId="11" borderId="2" xfId="1" applyNumberFormat="1" applyFont="1" applyFill="1" applyBorder="1" applyAlignment="1" applyProtection="1">
      <alignment horizontal="right" vertical="center" wrapText="1"/>
      <protection locked="0"/>
    </xf>
    <xf numFmtId="4" fontId="16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16" fillId="11" borderId="5" xfId="1" applyNumberFormat="1" applyFont="1" applyFill="1" applyBorder="1" applyAlignment="1" applyProtection="1">
      <alignment horizontal="right" vertical="center" wrapText="1"/>
      <protection locked="0"/>
    </xf>
    <xf numFmtId="4" fontId="20" fillId="0" borderId="0" xfId="1" applyNumberFormat="1" applyFont="1" applyFill="1" applyBorder="1" applyAlignment="1" applyProtection="1">
      <alignment horizontal="right"/>
      <protection locked="0"/>
    </xf>
    <xf numFmtId="4" fontId="20" fillId="8" borderId="0" xfId="1" applyNumberFormat="1" applyFont="1" applyFill="1" applyBorder="1" applyAlignment="1" applyProtection="1">
      <alignment horizontal="right"/>
      <protection locked="0"/>
    </xf>
    <xf numFmtId="4" fontId="17" fillId="16" borderId="2" xfId="1" applyNumberFormat="1" applyFont="1" applyFill="1" applyBorder="1" applyAlignment="1" applyProtection="1">
      <alignment horizontal="right" vertical="center" wrapText="1"/>
      <protection locked="0"/>
    </xf>
    <xf numFmtId="4" fontId="17" fillId="16" borderId="5" xfId="1" applyNumberFormat="1" applyFont="1" applyFill="1" applyBorder="1" applyAlignment="1" applyProtection="1">
      <alignment horizontal="right" vertical="center" wrapText="1"/>
      <protection locked="0"/>
    </xf>
    <xf numFmtId="4" fontId="16" fillId="16" borderId="2" xfId="1" applyNumberFormat="1" applyFont="1" applyFill="1" applyBorder="1" applyAlignment="1" applyProtection="1">
      <alignment horizontal="right" vertical="center" wrapText="1"/>
      <protection locked="0"/>
    </xf>
    <xf numFmtId="4" fontId="16" fillId="16" borderId="5" xfId="1" applyNumberFormat="1" applyFont="1" applyFill="1" applyBorder="1" applyAlignment="1" applyProtection="1">
      <alignment horizontal="right" vertical="center" wrapText="1"/>
      <protection locked="0"/>
    </xf>
    <xf numFmtId="4" fontId="17" fillId="16" borderId="1" xfId="1" applyNumberFormat="1" applyFont="1" applyFill="1" applyBorder="1" applyAlignment="1" applyProtection="1">
      <alignment horizontal="right" vertical="center" wrapText="1"/>
      <protection locked="0"/>
    </xf>
    <xf numFmtId="4" fontId="16" fillId="16" borderId="1" xfId="1" applyNumberFormat="1" applyFont="1" applyFill="1" applyBorder="1" applyAlignment="1" applyProtection="1">
      <alignment horizontal="right" vertical="center" wrapText="1"/>
      <protection locked="0"/>
    </xf>
    <xf numFmtId="4" fontId="17" fillId="16" borderId="14" xfId="1" applyNumberFormat="1" applyFont="1" applyFill="1" applyBorder="1" applyAlignment="1" applyProtection="1">
      <alignment horizontal="right" vertical="center" wrapText="1"/>
      <protection locked="0"/>
    </xf>
    <xf numFmtId="4" fontId="17" fillId="16" borderId="19" xfId="1" applyNumberFormat="1" applyFont="1" applyFill="1" applyBorder="1" applyAlignment="1" applyProtection="1">
      <alignment horizontal="right" vertical="center" wrapText="1"/>
      <protection locked="0"/>
    </xf>
    <xf numFmtId="4" fontId="17" fillId="16" borderId="15" xfId="1" applyNumberFormat="1" applyFont="1" applyFill="1" applyBorder="1" applyAlignment="1" applyProtection="1">
      <alignment horizontal="right" vertical="center" wrapText="1"/>
      <protection locked="0"/>
    </xf>
    <xf numFmtId="4" fontId="16" fillId="16" borderId="3" xfId="1" applyNumberFormat="1" applyFont="1" applyFill="1" applyBorder="1" applyAlignment="1" applyProtection="1">
      <alignment horizontal="right" vertical="center" wrapText="1"/>
      <protection locked="0"/>
    </xf>
    <xf numFmtId="4" fontId="6" fillId="15" borderId="0" xfId="1" applyNumberFormat="1" applyFont="1" applyFill="1" applyBorder="1" applyAlignment="1" applyProtection="1">
      <alignment horizontal="right" vertical="center"/>
      <protection locked="0"/>
    </xf>
    <xf numFmtId="4" fontId="17" fillId="16" borderId="3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4" xfId="1" applyNumberFormat="1" applyFont="1" applyFill="1" applyBorder="1" applyAlignment="1" applyProtection="1">
      <alignment horizontal="right" vertical="center"/>
      <protection locked="0"/>
    </xf>
    <xf numFmtId="4" fontId="13" fillId="15" borderId="4" xfId="1" applyNumberFormat="1" applyFont="1" applyFill="1" applyBorder="1" applyAlignment="1" applyProtection="1">
      <alignment horizontal="right" vertical="center"/>
      <protection locked="0"/>
    </xf>
    <xf numFmtId="4" fontId="17" fillId="16" borderId="4" xfId="1" applyNumberFormat="1" applyFont="1" applyFill="1" applyBorder="1" applyAlignment="1" applyProtection="1">
      <alignment horizontal="right" vertical="center" wrapText="1"/>
      <protection locked="0"/>
    </xf>
    <xf numFmtId="4" fontId="16" fillId="16" borderId="4" xfId="1" applyNumberFormat="1" applyFont="1" applyFill="1" applyBorder="1" applyAlignment="1" applyProtection="1">
      <alignment horizontal="right" vertical="center" wrapText="1"/>
      <protection locked="0"/>
    </xf>
    <xf numFmtId="4" fontId="6" fillId="15" borderId="17" xfId="1" applyNumberFormat="1" applyFont="1" applyFill="1" applyBorder="1" applyAlignment="1" applyProtection="1">
      <alignment horizontal="right" vertical="center"/>
      <protection locked="0"/>
    </xf>
    <xf numFmtId="4" fontId="21" fillId="0" borderId="4" xfId="1" applyNumberFormat="1" applyFont="1" applyFill="1" applyBorder="1" applyAlignment="1" applyProtection="1">
      <alignment horizontal="right" vertical="center"/>
      <protection locked="0"/>
    </xf>
    <xf numFmtId="4" fontId="6" fillId="15" borderId="22" xfId="1" applyNumberFormat="1" applyFont="1" applyFill="1" applyBorder="1" applyAlignment="1" applyProtection="1">
      <alignment horizontal="right" vertical="center"/>
      <protection locked="0"/>
    </xf>
    <xf numFmtId="4" fontId="13" fillId="10" borderId="17" xfId="1" applyNumberFormat="1" applyFont="1" applyFill="1" applyBorder="1" applyAlignment="1" applyProtection="1">
      <alignment horizontal="right" vertical="center"/>
      <protection locked="0"/>
    </xf>
    <xf numFmtId="4" fontId="13" fillId="10" borderId="4" xfId="1" applyNumberFormat="1" applyFont="1" applyFill="1" applyBorder="1" applyAlignment="1" applyProtection="1">
      <alignment horizontal="right" vertical="center"/>
      <protection locked="0"/>
    </xf>
    <xf numFmtId="4" fontId="6" fillId="6" borderId="17" xfId="1" applyNumberFormat="1" applyFont="1" applyFill="1" applyBorder="1" applyAlignment="1" applyProtection="1">
      <alignment horizontal="right" vertical="center"/>
      <protection locked="0"/>
    </xf>
    <xf numFmtId="4" fontId="6" fillId="6" borderId="4" xfId="1" applyNumberFormat="1" applyFont="1" applyFill="1" applyBorder="1" applyAlignment="1" applyProtection="1">
      <alignment horizontal="right" vertical="center"/>
      <protection locked="0"/>
    </xf>
    <xf numFmtId="4" fontId="13" fillId="12" borderId="17" xfId="1" applyNumberFormat="1" applyFont="1" applyFill="1" applyBorder="1" applyAlignment="1" applyProtection="1">
      <alignment horizontal="right" vertical="center"/>
      <protection locked="0"/>
    </xf>
    <xf numFmtId="4" fontId="13" fillId="12" borderId="4" xfId="1" applyNumberFormat="1" applyFont="1" applyFill="1" applyBorder="1" applyAlignment="1" applyProtection="1">
      <alignment horizontal="right" vertical="center"/>
      <protection locked="0"/>
    </xf>
    <xf numFmtId="4" fontId="13" fillId="0" borderId="6" xfId="1" applyNumberFormat="1" applyFont="1" applyFill="1" applyBorder="1" applyAlignment="1" applyProtection="1">
      <alignment horizontal="right" vertical="center"/>
      <protection locked="0"/>
    </xf>
    <xf numFmtId="4" fontId="13" fillId="10" borderId="6" xfId="1" applyNumberFormat="1" applyFont="1" applyFill="1" applyBorder="1" applyAlignment="1" applyProtection="1">
      <alignment horizontal="right" vertical="center"/>
      <protection locked="0"/>
    </xf>
    <xf numFmtId="4" fontId="16" fillId="8" borderId="4" xfId="1" applyNumberFormat="1" applyFont="1" applyFill="1" applyBorder="1" applyAlignment="1" applyProtection="1">
      <alignment horizontal="right" vertical="center"/>
      <protection locked="0"/>
    </xf>
    <xf numFmtId="4" fontId="13" fillId="0" borderId="17" xfId="1" applyNumberFormat="1" applyFont="1" applyFill="1" applyBorder="1" applyAlignment="1" applyProtection="1">
      <alignment horizontal="right" vertical="center"/>
      <protection locked="0"/>
    </xf>
    <xf numFmtId="4" fontId="17" fillId="5" borderId="4" xfId="1" applyNumberFormat="1" applyFont="1" applyFill="1" applyBorder="1" applyAlignment="1" applyProtection="1">
      <alignment horizontal="right" vertical="center" wrapText="1"/>
      <protection locked="0"/>
    </xf>
    <xf numFmtId="4" fontId="13" fillId="4" borderId="4" xfId="1" applyNumberFormat="1" applyFont="1" applyFill="1" applyBorder="1" applyAlignment="1" applyProtection="1">
      <alignment horizontal="right" vertical="center"/>
      <protection locked="0"/>
    </xf>
    <xf numFmtId="4" fontId="6" fillId="6" borderId="22" xfId="1" applyNumberFormat="1" applyFont="1" applyFill="1" applyBorder="1" applyAlignment="1" applyProtection="1">
      <alignment horizontal="right" vertical="center"/>
      <protection locked="0"/>
    </xf>
    <xf numFmtId="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49" fontId="8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7" borderId="1" xfId="1" applyNumberFormat="1" applyFont="1" applyFill="1" applyBorder="1" applyAlignment="1" applyProtection="1">
      <alignment horizontal="center" vertical="center" wrapText="1"/>
      <protection locked="0"/>
    </xf>
    <xf numFmtId="10" fontId="16" fillId="8" borderId="1" xfId="1" applyNumberFormat="1" applyFont="1" applyFill="1" applyBorder="1" applyAlignment="1" applyProtection="1">
      <alignment horizontal="right" vertical="center"/>
      <protection locked="0"/>
    </xf>
    <xf numFmtId="49" fontId="16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22" xfId="1" applyNumberFormat="1" applyFont="1" applyFill="1" applyBorder="1" applyAlignment="1" applyProtection="1">
      <alignment horizontal="right" vertical="center"/>
      <protection locked="0"/>
    </xf>
    <xf numFmtId="4" fontId="16" fillId="0" borderId="0" xfId="1" applyNumberFormat="1" applyFont="1" applyFill="1" applyBorder="1" applyAlignment="1" applyProtection="1">
      <alignment horizontal="right" vertical="center"/>
      <protection locked="0"/>
    </xf>
    <xf numFmtId="4" fontId="16" fillId="0" borderId="22" xfId="1" applyNumberFormat="1" applyFont="1" applyFill="1" applyBorder="1" applyAlignment="1" applyProtection="1">
      <alignment horizontal="right" vertical="center"/>
      <protection locked="0"/>
    </xf>
    <xf numFmtId="4" fontId="16" fillId="6" borderId="0" xfId="1" applyNumberFormat="1" applyFont="1" applyFill="1" applyBorder="1" applyAlignment="1" applyProtection="1">
      <alignment horizontal="right" vertical="center"/>
      <protection locked="0"/>
    </xf>
    <xf numFmtId="4" fontId="16" fillId="9" borderId="0" xfId="1" applyNumberFormat="1" applyFont="1" applyFill="1" applyBorder="1" applyAlignment="1" applyProtection="1">
      <alignment horizontal="right" vertical="center" wrapText="1"/>
      <protection locked="0"/>
    </xf>
    <xf numFmtId="4" fontId="16" fillId="9" borderId="22" xfId="1" applyNumberFormat="1" applyFont="1" applyFill="1" applyBorder="1" applyAlignment="1" applyProtection="1">
      <alignment horizontal="right" vertical="center" wrapText="1"/>
      <protection locked="0"/>
    </xf>
    <xf numFmtId="49" fontId="9" fillId="7" borderId="1" xfId="1" applyNumberFormat="1" applyFont="1" applyFill="1" applyBorder="1" applyAlignment="1" applyProtection="1">
      <alignment horizontal="left" vertical="center" wrapText="1"/>
      <protection locked="0"/>
    </xf>
    <xf numFmtId="4" fontId="16" fillId="8" borderId="1" xfId="1" applyNumberFormat="1" applyFont="1" applyFill="1" applyBorder="1" applyAlignment="1" applyProtection="1">
      <alignment vertical="center"/>
      <protection locked="0"/>
    </xf>
    <xf numFmtId="4" fontId="17" fillId="7" borderId="3" xfId="1" applyNumberFormat="1" applyFont="1" applyFill="1" applyBorder="1" applyAlignment="1" applyProtection="1">
      <alignment horizontal="right" vertical="center" wrapText="1"/>
      <protection locked="0"/>
    </xf>
    <xf numFmtId="4" fontId="17" fillId="7" borderId="2" xfId="1" applyNumberFormat="1" applyFont="1" applyFill="1" applyBorder="1" applyAlignment="1" applyProtection="1">
      <alignment horizontal="right" vertical="center" wrapText="1"/>
      <protection locked="0"/>
    </xf>
    <xf numFmtId="4" fontId="17" fillId="7" borderId="5" xfId="1" applyNumberFormat="1" applyFont="1" applyFill="1" applyBorder="1" applyAlignment="1" applyProtection="1">
      <alignment horizontal="right" vertical="center" wrapText="1"/>
      <protection locked="0"/>
    </xf>
    <xf numFmtId="49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7" fillId="13" borderId="1" xfId="1" applyNumberFormat="1" applyFont="1" applyFill="1" applyBorder="1" applyAlignment="1" applyProtection="1">
      <alignment horizontal="left" vertical="center" wrapText="1"/>
      <protection locked="0"/>
    </xf>
    <xf numFmtId="49" fontId="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right" vertical="center" wrapText="1"/>
      <protection locked="0"/>
    </xf>
    <xf numFmtId="49" fontId="7" fillId="13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13" borderId="1" xfId="1" applyNumberFormat="1" applyFont="1" applyFill="1" applyBorder="1" applyAlignment="1" applyProtection="1">
      <alignment horizontal="right" vertical="center" wrapText="1"/>
      <protection locked="0"/>
    </xf>
    <xf numFmtId="10" fontId="17" fillId="13" borderId="1" xfId="1" applyNumberFormat="1" applyFont="1" applyFill="1" applyBorder="1" applyAlignment="1" applyProtection="1">
      <alignment horizontal="right" vertical="center" wrapText="1"/>
      <protection locked="0"/>
    </xf>
    <xf numFmtId="10" fontId="17" fillId="14" borderId="1" xfId="1" applyNumberFormat="1" applyFont="1" applyFill="1" applyBorder="1" applyAlignment="1" applyProtection="1">
      <alignment horizontal="right" vertical="center"/>
      <protection locked="0"/>
    </xf>
    <xf numFmtId="49" fontId="7" fillId="13" borderId="1" xfId="1" quotePrefix="1" applyNumberFormat="1" applyFont="1" applyFill="1" applyBorder="1" applyAlignment="1" applyProtection="1">
      <alignment horizontal="center" vertical="center" wrapText="1"/>
      <protection locked="0"/>
    </xf>
    <xf numFmtId="4" fontId="17" fillId="14" borderId="1" xfId="1" applyNumberFormat="1" applyFont="1" applyFill="1" applyBorder="1" applyAlignment="1" applyProtection="1">
      <alignment horizontal="right" vertical="center"/>
      <protection locked="0"/>
    </xf>
    <xf numFmtId="49" fontId="9" fillId="7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17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17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17" borderId="1" xfId="1" applyNumberFormat="1" applyFont="1" applyFill="1" applyBorder="1" applyAlignment="1" applyProtection="1">
      <alignment horizontal="left" vertical="center" wrapText="1"/>
      <protection locked="0"/>
    </xf>
    <xf numFmtId="4" fontId="16" fillId="17" borderId="1" xfId="1" applyNumberFormat="1" applyFont="1" applyFill="1" applyBorder="1" applyAlignment="1" applyProtection="1">
      <alignment horizontal="right" vertical="center" wrapText="1"/>
      <protection locked="0"/>
    </xf>
    <xf numFmtId="10" fontId="16" fillId="17" borderId="1" xfId="1" applyNumberFormat="1" applyFont="1" applyFill="1" applyBorder="1" applyAlignment="1" applyProtection="1">
      <alignment horizontal="right" vertical="center" wrapText="1"/>
      <protection locked="0"/>
    </xf>
    <xf numFmtId="10" fontId="16" fillId="18" borderId="1" xfId="1" applyNumberFormat="1" applyFont="1" applyFill="1" applyBorder="1" applyAlignment="1" applyProtection="1">
      <alignment horizontal="right" vertical="center"/>
      <protection locked="0"/>
    </xf>
    <xf numFmtId="49" fontId="9" fillId="17" borderId="1" xfId="1" quotePrefix="1" applyNumberFormat="1" applyFont="1" applyFill="1" applyBorder="1" applyAlignment="1" applyProtection="1">
      <alignment horizontal="center" vertical="center" wrapText="1"/>
      <protection locked="0"/>
    </xf>
    <xf numFmtId="4" fontId="16" fillId="18" borderId="1" xfId="1" applyNumberFormat="1" applyFont="1" applyFill="1" applyBorder="1" applyAlignment="1" applyProtection="1">
      <alignment horizontal="right" vertical="center"/>
      <protection locked="0"/>
    </xf>
    <xf numFmtId="10" fontId="16" fillId="17" borderId="1" xfId="1" applyNumberFormat="1" applyFont="1" applyFill="1" applyBorder="1" applyAlignment="1" applyProtection="1">
      <alignment vertical="center" wrapText="1"/>
      <protection locked="0"/>
    </xf>
    <xf numFmtId="4" fontId="16" fillId="18" borderId="1" xfId="1" applyNumberFormat="1" applyFont="1" applyFill="1" applyBorder="1" applyAlignment="1" applyProtection="1">
      <alignment vertical="center"/>
      <protection locked="0"/>
    </xf>
    <xf numFmtId="4" fontId="15" fillId="13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13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23" xfId="1" applyNumberFormat="1" applyFont="1" applyFill="1" applyBorder="1" applyAlignment="1" applyProtection="1">
      <alignment horizontal="center" wrapText="1"/>
      <protection locked="0"/>
    </xf>
    <xf numFmtId="49" fontId="10" fillId="1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40">
    <cellStyle name="ConditionalStyle_1" xfId="2"/>
    <cellStyle name="Dziesiętny 2" xfId="39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20"/>
    <cellStyle name="Normalny 24" xfId="21"/>
    <cellStyle name="Normalny 25" xfId="22"/>
    <cellStyle name="Normalny 26" xfId="23"/>
    <cellStyle name="Normalny 27" xfId="24"/>
    <cellStyle name="Normalny 28" xfId="25"/>
    <cellStyle name="Normalny 29" xfId="1"/>
    <cellStyle name="Normalny 3" xfId="26"/>
    <cellStyle name="Normalny 3 2" xfId="27"/>
    <cellStyle name="Normalny 4" xfId="28"/>
    <cellStyle name="Normalny 4 2" xfId="29"/>
    <cellStyle name="Normalny 5" xfId="30"/>
    <cellStyle name="Normalny 5 2" xfId="31"/>
    <cellStyle name="Normalny 5 3" xfId="32"/>
    <cellStyle name="Normalny 5 3 2" xfId="33"/>
    <cellStyle name="Normalny 6" xfId="34"/>
    <cellStyle name="Normalny 7" xfId="35"/>
    <cellStyle name="Normalny 7 2" xfId="36"/>
    <cellStyle name="Normalny 8" xfId="37"/>
    <cellStyle name="Normalny 9" xfId="38"/>
  </cellStyles>
  <dxfs count="0"/>
  <tableStyles count="0" defaultTableStyle="TableStyleMedium2" defaultPivotStyle="PivotStyleLight16"/>
  <colors>
    <mruColors>
      <color rgb="FFFFFF00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0"/>
  <sheetViews>
    <sheetView showGridLines="0" tabSelected="1" workbookViewId="0">
      <pane xSplit="5" ySplit="3" topLeftCell="F223" activePane="bottomRight" state="frozen"/>
      <selection pane="topRight" activeCell="F1" sqref="F1"/>
      <selection pane="bottomLeft" activeCell="A5" sqref="A5"/>
      <selection pane="bottomRight" activeCell="I229" sqref="I229"/>
    </sheetView>
  </sheetViews>
  <sheetFormatPr defaultRowHeight="12.75" x14ac:dyDescent="0.2"/>
  <cols>
    <col min="1" max="1" width="5.5703125" style="1" customWidth="1"/>
    <col min="2" max="2" width="7.85546875" style="1" customWidth="1"/>
    <col min="3" max="3" width="9" style="1" customWidth="1"/>
    <col min="4" max="4" width="33.140625" style="1" customWidth="1"/>
    <col min="5" max="5" width="17" style="1" customWidth="1"/>
    <col min="6" max="6" width="13.42578125" style="1" customWidth="1"/>
    <col min="7" max="7" width="10.42578125" style="1" customWidth="1"/>
    <col min="8" max="8" width="15.85546875" style="1" customWidth="1"/>
    <col min="9" max="9" width="16" style="1" customWidth="1"/>
    <col min="10" max="10" width="13.42578125" style="1" customWidth="1"/>
    <col min="11" max="11" width="12.7109375" style="1" hidden="1" customWidth="1"/>
    <col min="12" max="12" width="12.28515625" style="1" hidden="1" customWidth="1"/>
    <col min="13" max="13" width="10.85546875" style="1" hidden="1" customWidth="1"/>
    <col min="14" max="14" width="12.7109375" style="1" hidden="1" customWidth="1"/>
    <col min="15" max="15" width="0" style="1" hidden="1" customWidth="1"/>
    <col min="16" max="16" width="10.85546875" style="1" hidden="1" customWidth="1"/>
    <col min="17" max="27" width="0" style="1" hidden="1" customWidth="1"/>
    <col min="28" max="28" width="10.7109375" style="1" hidden="1" customWidth="1"/>
    <col min="29" max="29" width="12.7109375" style="1" hidden="1" customWidth="1"/>
    <col min="30" max="205" width="9.140625" style="1"/>
    <col min="206" max="206" width="2.140625" style="1" customWidth="1"/>
    <col min="207" max="207" width="8.7109375" style="1" customWidth="1"/>
    <col min="208" max="208" width="9.85546875" style="1" customWidth="1"/>
    <col min="209" max="209" width="1" style="1" customWidth="1"/>
    <col min="210" max="210" width="10.85546875" style="1" customWidth="1"/>
    <col min="211" max="211" width="54.5703125" style="1" customWidth="1"/>
    <col min="212" max="213" width="22.85546875" style="1" customWidth="1"/>
    <col min="214" max="214" width="9.85546875" style="1" customWidth="1"/>
    <col min="215" max="215" width="13" style="1" customWidth="1"/>
    <col min="216" max="216" width="1" style="1" customWidth="1"/>
    <col min="217" max="461" width="9.140625" style="1"/>
    <col min="462" max="462" width="2.140625" style="1" customWidth="1"/>
    <col min="463" max="463" width="8.7109375" style="1" customWidth="1"/>
    <col min="464" max="464" width="9.85546875" style="1" customWidth="1"/>
    <col min="465" max="465" width="1" style="1" customWidth="1"/>
    <col min="466" max="466" width="10.85546875" style="1" customWidth="1"/>
    <col min="467" max="467" width="54.5703125" style="1" customWidth="1"/>
    <col min="468" max="469" width="22.85546875" style="1" customWidth="1"/>
    <col min="470" max="470" width="9.85546875" style="1" customWidth="1"/>
    <col min="471" max="471" width="13" style="1" customWidth="1"/>
    <col min="472" max="472" width="1" style="1" customWidth="1"/>
    <col min="473" max="717" width="9.140625" style="1"/>
    <col min="718" max="718" width="2.140625" style="1" customWidth="1"/>
    <col min="719" max="719" width="8.7109375" style="1" customWidth="1"/>
    <col min="720" max="720" width="9.85546875" style="1" customWidth="1"/>
    <col min="721" max="721" width="1" style="1" customWidth="1"/>
    <col min="722" max="722" width="10.85546875" style="1" customWidth="1"/>
    <col min="723" max="723" width="54.5703125" style="1" customWidth="1"/>
    <col min="724" max="725" width="22.85546875" style="1" customWidth="1"/>
    <col min="726" max="726" width="9.85546875" style="1" customWidth="1"/>
    <col min="727" max="727" width="13" style="1" customWidth="1"/>
    <col min="728" max="728" width="1" style="1" customWidth="1"/>
    <col min="729" max="973" width="9.140625" style="1"/>
    <col min="974" max="974" width="2.140625" style="1" customWidth="1"/>
    <col min="975" max="975" width="8.7109375" style="1" customWidth="1"/>
    <col min="976" max="976" width="9.85546875" style="1" customWidth="1"/>
    <col min="977" max="977" width="1" style="1" customWidth="1"/>
    <col min="978" max="978" width="10.85546875" style="1" customWidth="1"/>
    <col min="979" max="979" width="54.5703125" style="1" customWidth="1"/>
    <col min="980" max="981" width="22.85546875" style="1" customWidth="1"/>
    <col min="982" max="982" width="9.85546875" style="1" customWidth="1"/>
    <col min="983" max="983" width="13" style="1" customWidth="1"/>
    <col min="984" max="984" width="1" style="1" customWidth="1"/>
    <col min="985" max="1229" width="9.140625" style="1"/>
    <col min="1230" max="1230" width="2.140625" style="1" customWidth="1"/>
    <col min="1231" max="1231" width="8.7109375" style="1" customWidth="1"/>
    <col min="1232" max="1232" width="9.85546875" style="1" customWidth="1"/>
    <col min="1233" max="1233" width="1" style="1" customWidth="1"/>
    <col min="1234" max="1234" width="10.85546875" style="1" customWidth="1"/>
    <col min="1235" max="1235" width="54.5703125" style="1" customWidth="1"/>
    <col min="1236" max="1237" width="22.85546875" style="1" customWidth="1"/>
    <col min="1238" max="1238" width="9.85546875" style="1" customWidth="1"/>
    <col min="1239" max="1239" width="13" style="1" customWidth="1"/>
    <col min="1240" max="1240" width="1" style="1" customWidth="1"/>
    <col min="1241" max="1485" width="9.140625" style="1"/>
    <col min="1486" max="1486" width="2.140625" style="1" customWidth="1"/>
    <col min="1487" max="1487" width="8.7109375" style="1" customWidth="1"/>
    <col min="1488" max="1488" width="9.85546875" style="1" customWidth="1"/>
    <col min="1489" max="1489" width="1" style="1" customWidth="1"/>
    <col min="1490" max="1490" width="10.85546875" style="1" customWidth="1"/>
    <col min="1491" max="1491" width="54.5703125" style="1" customWidth="1"/>
    <col min="1492" max="1493" width="22.85546875" style="1" customWidth="1"/>
    <col min="1494" max="1494" width="9.85546875" style="1" customWidth="1"/>
    <col min="1495" max="1495" width="13" style="1" customWidth="1"/>
    <col min="1496" max="1496" width="1" style="1" customWidth="1"/>
    <col min="1497" max="1741" width="9.140625" style="1"/>
    <col min="1742" max="1742" width="2.140625" style="1" customWidth="1"/>
    <col min="1743" max="1743" width="8.7109375" style="1" customWidth="1"/>
    <col min="1744" max="1744" width="9.85546875" style="1" customWidth="1"/>
    <col min="1745" max="1745" width="1" style="1" customWidth="1"/>
    <col min="1746" max="1746" width="10.85546875" style="1" customWidth="1"/>
    <col min="1747" max="1747" width="54.5703125" style="1" customWidth="1"/>
    <col min="1748" max="1749" width="22.85546875" style="1" customWidth="1"/>
    <col min="1750" max="1750" width="9.85546875" style="1" customWidth="1"/>
    <col min="1751" max="1751" width="13" style="1" customWidth="1"/>
    <col min="1752" max="1752" width="1" style="1" customWidth="1"/>
    <col min="1753" max="1997" width="9.140625" style="1"/>
    <col min="1998" max="1998" width="2.140625" style="1" customWidth="1"/>
    <col min="1999" max="1999" width="8.7109375" style="1" customWidth="1"/>
    <col min="2000" max="2000" width="9.85546875" style="1" customWidth="1"/>
    <col min="2001" max="2001" width="1" style="1" customWidth="1"/>
    <col min="2002" max="2002" width="10.85546875" style="1" customWidth="1"/>
    <col min="2003" max="2003" width="54.5703125" style="1" customWidth="1"/>
    <col min="2004" max="2005" width="22.85546875" style="1" customWidth="1"/>
    <col min="2006" max="2006" width="9.85546875" style="1" customWidth="1"/>
    <col min="2007" max="2007" width="13" style="1" customWidth="1"/>
    <col min="2008" max="2008" width="1" style="1" customWidth="1"/>
    <col min="2009" max="2253" width="9.140625" style="1"/>
    <col min="2254" max="2254" width="2.140625" style="1" customWidth="1"/>
    <col min="2255" max="2255" width="8.7109375" style="1" customWidth="1"/>
    <col min="2256" max="2256" width="9.85546875" style="1" customWidth="1"/>
    <col min="2257" max="2257" width="1" style="1" customWidth="1"/>
    <col min="2258" max="2258" width="10.85546875" style="1" customWidth="1"/>
    <col min="2259" max="2259" width="54.5703125" style="1" customWidth="1"/>
    <col min="2260" max="2261" width="22.85546875" style="1" customWidth="1"/>
    <col min="2262" max="2262" width="9.85546875" style="1" customWidth="1"/>
    <col min="2263" max="2263" width="13" style="1" customWidth="1"/>
    <col min="2264" max="2264" width="1" style="1" customWidth="1"/>
    <col min="2265" max="2509" width="9.140625" style="1"/>
    <col min="2510" max="2510" width="2.140625" style="1" customWidth="1"/>
    <col min="2511" max="2511" width="8.7109375" style="1" customWidth="1"/>
    <col min="2512" max="2512" width="9.85546875" style="1" customWidth="1"/>
    <col min="2513" max="2513" width="1" style="1" customWidth="1"/>
    <col min="2514" max="2514" width="10.85546875" style="1" customWidth="1"/>
    <col min="2515" max="2515" width="54.5703125" style="1" customWidth="1"/>
    <col min="2516" max="2517" width="22.85546875" style="1" customWidth="1"/>
    <col min="2518" max="2518" width="9.85546875" style="1" customWidth="1"/>
    <col min="2519" max="2519" width="13" style="1" customWidth="1"/>
    <col min="2520" max="2520" width="1" style="1" customWidth="1"/>
    <col min="2521" max="2765" width="9.140625" style="1"/>
    <col min="2766" max="2766" width="2.140625" style="1" customWidth="1"/>
    <col min="2767" max="2767" width="8.7109375" style="1" customWidth="1"/>
    <col min="2768" max="2768" width="9.85546875" style="1" customWidth="1"/>
    <col min="2769" max="2769" width="1" style="1" customWidth="1"/>
    <col min="2770" max="2770" width="10.85546875" style="1" customWidth="1"/>
    <col min="2771" max="2771" width="54.5703125" style="1" customWidth="1"/>
    <col min="2772" max="2773" width="22.85546875" style="1" customWidth="1"/>
    <col min="2774" max="2774" width="9.85546875" style="1" customWidth="1"/>
    <col min="2775" max="2775" width="13" style="1" customWidth="1"/>
    <col min="2776" max="2776" width="1" style="1" customWidth="1"/>
    <col min="2777" max="3021" width="9.140625" style="1"/>
    <col min="3022" max="3022" width="2.140625" style="1" customWidth="1"/>
    <col min="3023" max="3023" width="8.7109375" style="1" customWidth="1"/>
    <col min="3024" max="3024" width="9.85546875" style="1" customWidth="1"/>
    <col min="3025" max="3025" width="1" style="1" customWidth="1"/>
    <col min="3026" max="3026" width="10.85546875" style="1" customWidth="1"/>
    <col min="3027" max="3027" width="54.5703125" style="1" customWidth="1"/>
    <col min="3028" max="3029" width="22.85546875" style="1" customWidth="1"/>
    <col min="3030" max="3030" width="9.85546875" style="1" customWidth="1"/>
    <col min="3031" max="3031" width="13" style="1" customWidth="1"/>
    <col min="3032" max="3032" width="1" style="1" customWidth="1"/>
    <col min="3033" max="3277" width="9.140625" style="1"/>
    <col min="3278" max="3278" width="2.140625" style="1" customWidth="1"/>
    <col min="3279" max="3279" width="8.7109375" style="1" customWidth="1"/>
    <col min="3280" max="3280" width="9.85546875" style="1" customWidth="1"/>
    <col min="3281" max="3281" width="1" style="1" customWidth="1"/>
    <col min="3282" max="3282" width="10.85546875" style="1" customWidth="1"/>
    <col min="3283" max="3283" width="54.5703125" style="1" customWidth="1"/>
    <col min="3284" max="3285" width="22.85546875" style="1" customWidth="1"/>
    <col min="3286" max="3286" width="9.85546875" style="1" customWidth="1"/>
    <col min="3287" max="3287" width="13" style="1" customWidth="1"/>
    <col min="3288" max="3288" width="1" style="1" customWidth="1"/>
    <col min="3289" max="3533" width="9.140625" style="1"/>
    <col min="3534" max="3534" width="2.140625" style="1" customWidth="1"/>
    <col min="3535" max="3535" width="8.7109375" style="1" customWidth="1"/>
    <col min="3536" max="3536" width="9.85546875" style="1" customWidth="1"/>
    <col min="3537" max="3537" width="1" style="1" customWidth="1"/>
    <col min="3538" max="3538" width="10.85546875" style="1" customWidth="1"/>
    <col min="3539" max="3539" width="54.5703125" style="1" customWidth="1"/>
    <col min="3540" max="3541" width="22.85546875" style="1" customWidth="1"/>
    <col min="3542" max="3542" width="9.85546875" style="1" customWidth="1"/>
    <col min="3543" max="3543" width="13" style="1" customWidth="1"/>
    <col min="3544" max="3544" width="1" style="1" customWidth="1"/>
    <col min="3545" max="3789" width="9.140625" style="1"/>
    <col min="3790" max="3790" width="2.140625" style="1" customWidth="1"/>
    <col min="3791" max="3791" width="8.7109375" style="1" customWidth="1"/>
    <col min="3792" max="3792" width="9.85546875" style="1" customWidth="1"/>
    <col min="3793" max="3793" width="1" style="1" customWidth="1"/>
    <col min="3794" max="3794" width="10.85546875" style="1" customWidth="1"/>
    <col min="3795" max="3795" width="54.5703125" style="1" customWidth="1"/>
    <col min="3796" max="3797" width="22.85546875" style="1" customWidth="1"/>
    <col min="3798" max="3798" width="9.85546875" style="1" customWidth="1"/>
    <col min="3799" max="3799" width="13" style="1" customWidth="1"/>
    <col min="3800" max="3800" width="1" style="1" customWidth="1"/>
    <col min="3801" max="4045" width="9.140625" style="1"/>
    <col min="4046" max="4046" width="2.140625" style="1" customWidth="1"/>
    <col min="4047" max="4047" width="8.7109375" style="1" customWidth="1"/>
    <col min="4048" max="4048" width="9.85546875" style="1" customWidth="1"/>
    <col min="4049" max="4049" width="1" style="1" customWidth="1"/>
    <col min="4050" max="4050" width="10.85546875" style="1" customWidth="1"/>
    <col min="4051" max="4051" width="54.5703125" style="1" customWidth="1"/>
    <col min="4052" max="4053" width="22.85546875" style="1" customWidth="1"/>
    <col min="4054" max="4054" width="9.85546875" style="1" customWidth="1"/>
    <col min="4055" max="4055" width="13" style="1" customWidth="1"/>
    <col min="4056" max="4056" width="1" style="1" customWidth="1"/>
    <col min="4057" max="4301" width="9.140625" style="1"/>
    <col min="4302" max="4302" width="2.140625" style="1" customWidth="1"/>
    <col min="4303" max="4303" width="8.7109375" style="1" customWidth="1"/>
    <col min="4304" max="4304" width="9.85546875" style="1" customWidth="1"/>
    <col min="4305" max="4305" width="1" style="1" customWidth="1"/>
    <col min="4306" max="4306" width="10.85546875" style="1" customWidth="1"/>
    <col min="4307" max="4307" width="54.5703125" style="1" customWidth="1"/>
    <col min="4308" max="4309" width="22.85546875" style="1" customWidth="1"/>
    <col min="4310" max="4310" width="9.85546875" style="1" customWidth="1"/>
    <col min="4311" max="4311" width="13" style="1" customWidth="1"/>
    <col min="4312" max="4312" width="1" style="1" customWidth="1"/>
    <col min="4313" max="4557" width="9.140625" style="1"/>
    <col min="4558" max="4558" width="2.140625" style="1" customWidth="1"/>
    <col min="4559" max="4559" width="8.7109375" style="1" customWidth="1"/>
    <col min="4560" max="4560" width="9.85546875" style="1" customWidth="1"/>
    <col min="4561" max="4561" width="1" style="1" customWidth="1"/>
    <col min="4562" max="4562" width="10.85546875" style="1" customWidth="1"/>
    <col min="4563" max="4563" width="54.5703125" style="1" customWidth="1"/>
    <col min="4564" max="4565" width="22.85546875" style="1" customWidth="1"/>
    <col min="4566" max="4566" width="9.85546875" style="1" customWidth="1"/>
    <col min="4567" max="4567" width="13" style="1" customWidth="1"/>
    <col min="4568" max="4568" width="1" style="1" customWidth="1"/>
    <col min="4569" max="4813" width="9.140625" style="1"/>
    <col min="4814" max="4814" width="2.140625" style="1" customWidth="1"/>
    <col min="4815" max="4815" width="8.7109375" style="1" customWidth="1"/>
    <col min="4816" max="4816" width="9.85546875" style="1" customWidth="1"/>
    <col min="4817" max="4817" width="1" style="1" customWidth="1"/>
    <col min="4818" max="4818" width="10.85546875" style="1" customWidth="1"/>
    <col min="4819" max="4819" width="54.5703125" style="1" customWidth="1"/>
    <col min="4820" max="4821" width="22.85546875" style="1" customWidth="1"/>
    <col min="4822" max="4822" width="9.85546875" style="1" customWidth="1"/>
    <col min="4823" max="4823" width="13" style="1" customWidth="1"/>
    <col min="4824" max="4824" width="1" style="1" customWidth="1"/>
    <col min="4825" max="5069" width="9.140625" style="1"/>
    <col min="5070" max="5070" width="2.140625" style="1" customWidth="1"/>
    <col min="5071" max="5071" width="8.7109375" style="1" customWidth="1"/>
    <col min="5072" max="5072" width="9.85546875" style="1" customWidth="1"/>
    <col min="5073" max="5073" width="1" style="1" customWidth="1"/>
    <col min="5074" max="5074" width="10.85546875" style="1" customWidth="1"/>
    <col min="5075" max="5075" width="54.5703125" style="1" customWidth="1"/>
    <col min="5076" max="5077" width="22.85546875" style="1" customWidth="1"/>
    <col min="5078" max="5078" width="9.85546875" style="1" customWidth="1"/>
    <col min="5079" max="5079" width="13" style="1" customWidth="1"/>
    <col min="5080" max="5080" width="1" style="1" customWidth="1"/>
    <col min="5081" max="5325" width="9.140625" style="1"/>
    <col min="5326" max="5326" width="2.140625" style="1" customWidth="1"/>
    <col min="5327" max="5327" width="8.7109375" style="1" customWidth="1"/>
    <col min="5328" max="5328" width="9.85546875" style="1" customWidth="1"/>
    <col min="5329" max="5329" width="1" style="1" customWidth="1"/>
    <col min="5330" max="5330" width="10.85546875" style="1" customWidth="1"/>
    <col min="5331" max="5331" width="54.5703125" style="1" customWidth="1"/>
    <col min="5332" max="5333" width="22.85546875" style="1" customWidth="1"/>
    <col min="5334" max="5334" width="9.85546875" style="1" customWidth="1"/>
    <col min="5335" max="5335" width="13" style="1" customWidth="1"/>
    <col min="5336" max="5336" width="1" style="1" customWidth="1"/>
    <col min="5337" max="5581" width="9.140625" style="1"/>
    <col min="5582" max="5582" width="2.140625" style="1" customWidth="1"/>
    <col min="5583" max="5583" width="8.7109375" style="1" customWidth="1"/>
    <col min="5584" max="5584" width="9.85546875" style="1" customWidth="1"/>
    <col min="5585" max="5585" width="1" style="1" customWidth="1"/>
    <col min="5586" max="5586" width="10.85546875" style="1" customWidth="1"/>
    <col min="5587" max="5587" width="54.5703125" style="1" customWidth="1"/>
    <col min="5588" max="5589" width="22.85546875" style="1" customWidth="1"/>
    <col min="5590" max="5590" width="9.85546875" style="1" customWidth="1"/>
    <col min="5591" max="5591" width="13" style="1" customWidth="1"/>
    <col min="5592" max="5592" width="1" style="1" customWidth="1"/>
    <col min="5593" max="5837" width="9.140625" style="1"/>
    <col min="5838" max="5838" width="2.140625" style="1" customWidth="1"/>
    <col min="5839" max="5839" width="8.7109375" style="1" customWidth="1"/>
    <col min="5840" max="5840" width="9.85546875" style="1" customWidth="1"/>
    <col min="5841" max="5841" width="1" style="1" customWidth="1"/>
    <col min="5842" max="5842" width="10.85546875" style="1" customWidth="1"/>
    <col min="5843" max="5843" width="54.5703125" style="1" customWidth="1"/>
    <col min="5844" max="5845" width="22.85546875" style="1" customWidth="1"/>
    <col min="5846" max="5846" width="9.85546875" style="1" customWidth="1"/>
    <col min="5847" max="5847" width="13" style="1" customWidth="1"/>
    <col min="5848" max="5848" width="1" style="1" customWidth="1"/>
    <col min="5849" max="6093" width="9.140625" style="1"/>
    <col min="6094" max="6094" width="2.140625" style="1" customWidth="1"/>
    <col min="6095" max="6095" width="8.7109375" style="1" customWidth="1"/>
    <col min="6096" max="6096" width="9.85546875" style="1" customWidth="1"/>
    <col min="6097" max="6097" width="1" style="1" customWidth="1"/>
    <col min="6098" max="6098" width="10.85546875" style="1" customWidth="1"/>
    <col min="6099" max="6099" width="54.5703125" style="1" customWidth="1"/>
    <col min="6100" max="6101" width="22.85546875" style="1" customWidth="1"/>
    <col min="6102" max="6102" width="9.85546875" style="1" customWidth="1"/>
    <col min="6103" max="6103" width="13" style="1" customWidth="1"/>
    <col min="6104" max="6104" width="1" style="1" customWidth="1"/>
    <col min="6105" max="6349" width="9.140625" style="1"/>
    <col min="6350" max="6350" width="2.140625" style="1" customWidth="1"/>
    <col min="6351" max="6351" width="8.7109375" style="1" customWidth="1"/>
    <col min="6352" max="6352" width="9.85546875" style="1" customWidth="1"/>
    <col min="6353" max="6353" width="1" style="1" customWidth="1"/>
    <col min="6354" max="6354" width="10.85546875" style="1" customWidth="1"/>
    <col min="6355" max="6355" width="54.5703125" style="1" customWidth="1"/>
    <col min="6356" max="6357" width="22.85546875" style="1" customWidth="1"/>
    <col min="6358" max="6358" width="9.85546875" style="1" customWidth="1"/>
    <col min="6359" max="6359" width="13" style="1" customWidth="1"/>
    <col min="6360" max="6360" width="1" style="1" customWidth="1"/>
    <col min="6361" max="6605" width="9.140625" style="1"/>
    <col min="6606" max="6606" width="2.140625" style="1" customWidth="1"/>
    <col min="6607" max="6607" width="8.7109375" style="1" customWidth="1"/>
    <col min="6608" max="6608" width="9.85546875" style="1" customWidth="1"/>
    <col min="6609" max="6609" width="1" style="1" customWidth="1"/>
    <col min="6610" max="6610" width="10.85546875" style="1" customWidth="1"/>
    <col min="6611" max="6611" width="54.5703125" style="1" customWidth="1"/>
    <col min="6612" max="6613" width="22.85546875" style="1" customWidth="1"/>
    <col min="6614" max="6614" width="9.85546875" style="1" customWidth="1"/>
    <col min="6615" max="6615" width="13" style="1" customWidth="1"/>
    <col min="6616" max="6616" width="1" style="1" customWidth="1"/>
    <col min="6617" max="6861" width="9.140625" style="1"/>
    <col min="6862" max="6862" width="2.140625" style="1" customWidth="1"/>
    <col min="6863" max="6863" width="8.7109375" style="1" customWidth="1"/>
    <col min="6864" max="6864" width="9.85546875" style="1" customWidth="1"/>
    <col min="6865" max="6865" width="1" style="1" customWidth="1"/>
    <col min="6866" max="6866" width="10.85546875" style="1" customWidth="1"/>
    <col min="6867" max="6867" width="54.5703125" style="1" customWidth="1"/>
    <col min="6868" max="6869" width="22.85546875" style="1" customWidth="1"/>
    <col min="6870" max="6870" width="9.85546875" style="1" customWidth="1"/>
    <col min="6871" max="6871" width="13" style="1" customWidth="1"/>
    <col min="6872" max="6872" width="1" style="1" customWidth="1"/>
    <col min="6873" max="7117" width="9.140625" style="1"/>
    <col min="7118" max="7118" width="2.140625" style="1" customWidth="1"/>
    <col min="7119" max="7119" width="8.7109375" style="1" customWidth="1"/>
    <col min="7120" max="7120" width="9.85546875" style="1" customWidth="1"/>
    <col min="7121" max="7121" width="1" style="1" customWidth="1"/>
    <col min="7122" max="7122" width="10.85546875" style="1" customWidth="1"/>
    <col min="7123" max="7123" width="54.5703125" style="1" customWidth="1"/>
    <col min="7124" max="7125" width="22.85546875" style="1" customWidth="1"/>
    <col min="7126" max="7126" width="9.85546875" style="1" customWidth="1"/>
    <col min="7127" max="7127" width="13" style="1" customWidth="1"/>
    <col min="7128" max="7128" width="1" style="1" customWidth="1"/>
    <col min="7129" max="7373" width="9.140625" style="1"/>
    <col min="7374" max="7374" width="2.140625" style="1" customWidth="1"/>
    <col min="7375" max="7375" width="8.7109375" style="1" customWidth="1"/>
    <col min="7376" max="7376" width="9.85546875" style="1" customWidth="1"/>
    <col min="7377" max="7377" width="1" style="1" customWidth="1"/>
    <col min="7378" max="7378" width="10.85546875" style="1" customWidth="1"/>
    <col min="7379" max="7379" width="54.5703125" style="1" customWidth="1"/>
    <col min="7380" max="7381" width="22.85546875" style="1" customWidth="1"/>
    <col min="7382" max="7382" width="9.85546875" style="1" customWidth="1"/>
    <col min="7383" max="7383" width="13" style="1" customWidth="1"/>
    <col min="7384" max="7384" width="1" style="1" customWidth="1"/>
    <col min="7385" max="7629" width="9.140625" style="1"/>
    <col min="7630" max="7630" width="2.140625" style="1" customWidth="1"/>
    <col min="7631" max="7631" width="8.7109375" style="1" customWidth="1"/>
    <col min="7632" max="7632" width="9.85546875" style="1" customWidth="1"/>
    <col min="7633" max="7633" width="1" style="1" customWidth="1"/>
    <col min="7634" max="7634" width="10.85546875" style="1" customWidth="1"/>
    <col min="7635" max="7635" width="54.5703125" style="1" customWidth="1"/>
    <col min="7636" max="7637" width="22.85546875" style="1" customWidth="1"/>
    <col min="7638" max="7638" width="9.85546875" style="1" customWidth="1"/>
    <col min="7639" max="7639" width="13" style="1" customWidth="1"/>
    <col min="7640" max="7640" width="1" style="1" customWidth="1"/>
    <col min="7641" max="7885" width="9.140625" style="1"/>
    <col min="7886" max="7886" width="2.140625" style="1" customWidth="1"/>
    <col min="7887" max="7887" width="8.7109375" style="1" customWidth="1"/>
    <col min="7888" max="7888" width="9.85546875" style="1" customWidth="1"/>
    <col min="7889" max="7889" width="1" style="1" customWidth="1"/>
    <col min="7890" max="7890" width="10.85546875" style="1" customWidth="1"/>
    <col min="7891" max="7891" width="54.5703125" style="1" customWidth="1"/>
    <col min="7892" max="7893" width="22.85546875" style="1" customWidth="1"/>
    <col min="7894" max="7894" width="9.85546875" style="1" customWidth="1"/>
    <col min="7895" max="7895" width="13" style="1" customWidth="1"/>
    <col min="7896" max="7896" width="1" style="1" customWidth="1"/>
    <col min="7897" max="8141" width="9.140625" style="1"/>
    <col min="8142" max="8142" width="2.140625" style="1" customWidth="1"/>
    <col min="8143" max="8143" width="8.7109375" style="1" customWidth="1"/>
    <col min="8144" max="8144" width="9.85546875" style="1" customWidth="1"/>
    <col min="8145" max="8145" width="1" style="1" customWidth="1"/>
    <col min="8146" max="8146" width="10.85546875" style="1" customWidth="1"/>
    <col min="8147" max="8147" width="54.5703125" style="1" customWidth="1"/>
    <col min="8148" max="8149" width="22.85546875" style="1" customWidth="1"/>
    <col min="8150" max="8150" width="9.85546875" style="1" customWidth="1"/>
    <col min="8151" max="8151" width="13" style="1" customWidth="1"/>
    <col min="8152" max="8152" width="1" style="1" customWidth="1"/>
    <col min="8153" max="8397" width="9.140625" style="1"/>
    <col min="8398" max="8398" width="2.140625" style="1" customWidth="1"/>
    <col min="8399" max="8399" width="8.7109375" style="1" customWidth="1"/>
    <col min="8400" max="8400" width="9.85546875" style="1" customWidth="1"/>
    <col min="8401" max="8401" width="1" style="1" customWidth="1"/>
    <col min="8402" max="8402" width="10.85546875" style="1" customWidth="1"/>
    <col min="8403" max="8403" width="54.5703125" style="1" customWidth="1"/>
    <col min="8404" max="8405" width="22.85546875" style="1" customWidth="1"/>
    <col min="8406" max="8406" width="9.85546875" style="1" customWidth="1"/>
    <col min="8407" max="8407" width="13" style="1" customWidth="1"/>
    <col min="8408" max="8408" width="1" style="1" customWidth="1"/>
    <col min="8409" max="8653" width="9.140625" style="1"/>
    <col min="8654" max="8654" width="2.140625" style="1" customWidth="1"/>
    <col min="8655" max="8655" width="8.7109375" style="1" customWidth="1"/>
    <col min="8656" max="8656" width="9.85546875" style="1" customWidth="1"/>
    <col min="8657" max="8657" width="1" style="1" customWidth="1"/>
    <col min="8658" max="8658" width="10.85546875" style="1" customWidth="1"/>
    <col min="8659" max="8659" width="54.5703125" style="1" customWidth="1"/>
    <col min="8660" max="8661" width="22.85546875" style="1" customWidth="1"/>
    <col min="8662" max="8662" width="9.85546875" style="1" customWidth="1"/>
    <col min="8663" max="8663" width="13" style="1" customWidth="1"/>
    <col min="8664" max="8664" width="1" style="1" customWidth="1"/>
    <col min="8665" max="8909" width="9.140625" style="1"/>
    <col min="8910" max="8910" width="2.140625" style="1" customWidth="1"/>
    <col min="8911" max="8911" width="8.7109375" style="1" customWidth="1"/>
    <col min="8912" max="8912" width="9.85546875" style="1" customWidth="1"/>
    <col min="8913" max="8913" width="1" style="1" customWidth="1"/>
    <col min="8914" max="8914" width="10.85546875" style="1" customWidth="1"/>
    <col min="8915" max="8915" width="54.5703125" style="1" customWidth="1"/>
    <col min="8916" max="8917" width="22.85546875" style="1" customWidth="1"/>
    <col min="8918" max="8918" width="9.85546875" style="1" customWidth="1"/>
    <col min="8919" max="8919" width="13" style="1" customWidth="1"/>
    <col min="8920" max="8920" width="1" style="1" customWidth="1"/>
    <col min="8921" max="9165" width="9.140625" style="1"/>
    <col min="9166" max="9166" width="2.140625" style="1" customWidth="1"/>
    <col min="9167" max="9167" width="8.7109375" style="1" customWidth="1"/>
    <col min="9168" max="9168" width="9.85546875" style="1" customWidth="1"/>
    <col min="9169" max="9169" width="1" style="1" customWidth="1"/>
    <col min="9170" max="9170" width="10.85546875" style="1" customWidth="1"/>
    <col min="9171" max="9171" width="54.5703125" style="1" customWidth="1"/>
    <col min="9172" max="9173" width="22.85546875" style="1" customWidth="1"/>
    <col min="9174" max="9174" width="9.85546875" style="1" customWidth="1"/>
    <col min="9175" max="9175" width="13" style="1" customWidth="1"/>
    <col min="9176" max="9176" width="1" style="1" customWidth="1"/>
    <col min="9177" max="9421" width="9.140625" style="1"/>
    <col min="9422" max="9422" width="2.140625" style="1" customWidth="1"/>
    <col min="9423" max="9423" width="8.7109375" style="1" customWidth="1"/>
    <col min="9424" max="9424" width="9.85546875" style="1" customWidth="1"/>
    <col min="9425" max="9425" width="1" style="1" customWidth="1"/>
    <col min="9426" max="9426" width="10.85546875" style="1" customWidth="1"/>
    <col min="9427" max="9427" width="54.5703125" style="1" customWidth="1"/>
    <col min="9428" max="9429" width="22.85546875" style="1" customWidth="1"/>
    <col min="9430" max="9430" width="9.85546875" style="1" customWidth="1"/>
    <col min="9431" max="9431" width="13" style="1" customWidth="1"/>
    <col min="9432" max="9432" width="1" style="1" customWidth="1"/>
    <col min="9433" max="9677" width="9.140625" style="1"/>
    <col min="9678" max="9678" width="2.140625" style="1" customWidth="1"/>
    <col min="9679" max="9679" width="8.7109375" style="1" customWidth="1"/>
    <col min="9680" max="9680" width="9.85546875" style="1" customWidth="1"/>
    <col min="9681" max="9681" width="1" style="1" customWidth="1"/>
    <col min="9682" max="9682" width="10.85546875" style="1" customWidth="1"/>
    <col min="9683" max="9683" width="54.5703125" style="1" customWidth="1"/>
    <col min="9684" max="9685" width="22.85546875" style="1" customWidth="1"/>
    <col min="9686" max="9686" width="9.85546875" style="1" customWidth="1"/>
    <col min="9687" max="9687" width="13" style="1" customWidth="1"/>
    <col min="9688" max="9688" width="1" style="1" customWidth="1"/>
    <col min="9689" max="9933" width="9.140625" style="1"/>
    <col min="9934" max="9934" width="2.140625" style="1" customWidth="1"/>
    <col min="9935" max="9935" width="8.7109375" style="1" customWidth="1"/>
    <col min="9936" max="9936" width="9.85546875" style="1" customWidth="1"/>
    <col min="9937" max="9937" width="1" style="1" customWidth="1"/>
    <col min="9938" max="9938" width="10.85546875" style="1" customWidth="1"/>
    <col min="9939" max="9939" width="54.5703125" style="1" customWidth="1"/>
    <col min="9940" max="9941" width="22.85546875" style="1" customWidth="1"/>
    <col min="9942" max="9942" width="9.85546875" style="1" customWidth="1"/>
    <col min="9943" max="9943" width="13" style="1" customWidth="1"/>
    <col min="9944" max="9944" width="1" style="1" customWidth="1"/>
    <col min="9945" max="10189" width="9.140625" style="1"/>
    <col min="10190" max="10190" width="2.140625" style="1" customWidth="1"/>
    <col min="10191" max="10191" width="8.7109375" style="1" customWidth="1"/>
    <col min="10192" max="10192" width="9.85546875" style="1" customWidth="1"/>
    <col min="10193" max="10193" width="1" style="1" customWidth="1"/>
    <col min="10194" max="10194" width="10.85546875" style="1" customWidth="1"/>
    <col min="10195" max="10195" width="54.5703125" style="1" customWidth="1"/>
    <col min="10196" max="10197" width="22.85546875" style="1" customWidth="1"/>
    <col min="10198" max="10198" width="9.85546875" style="1" customWidth="1"/>
    <col min="10199" max="10199" width="13" style="1" customWidth="1"/>
    <col min="10200" max="10200" width="1" style="1" customWidth="1"/>
    <col min="10201" max="10445" width="9.140625" style="1"/>
    <col min="10446" max="10446" width="2.140625" style="1" customWidth="1"/>
    <col min="10447" max="10447" width="8.7109375" style="1" customWidth="1"/>
    <col min="10448" max="10448" width="9.85546875" style="1" customWidth="1"/>
    <col min="10449" max="10449" width="1" style="1" customWidth="1"/>
    <col min="10450" max="10450" width="10.85546875" style="1" customWidth="1"/>
    <col min="10451" max="10451" width="54.5703125" style="1" customWidth="1"/>
    <col min="10452" max="10453" width="22.85546875" style="1" customWidth="1"/>
    <col min="10454" max="10454" width="9.85546875" style="1" customWidth="1"/>
    <col min="10455" max="10455" width="13" style="1" customWidth="1"/>
    <col min="10456" max="10456" width="1" style="1" customWidth="1"/>
    <col min="10457" max="10701" width="9.140625" style="1"/>
    <col min="10702" max="10702" width="2.140625" style="1" customWidth="1"/>
    <col min="10703" max="10703" width="8.7109375" style="1" customWidth="1"/>
    <col min="10704" max="10704" width="9.85546875" style="1" customWidth="1"/>
    <col min="10705" max="10705" width="1" style="1" customWidth="1"/>
    <col min="10706" max="10706" width="10.85546875" style="1" customWidth="1"/>
    <col min="10707" max="10707" width="54.5703125" style="1" customWidth="1"/>
    <col min="10708" max="10709" width="22.85546875" style="1" customWidth="1"/>
    <col min="10710" max="10710" width="9.85546875" style="1" customWidth="1"/>
    <col min="10711" max="10711" width="13" style="1" customWidth="1"/>
    <col min="10712" max="10712" width="1" style="1" customWidth="1"/>
    <col min="10713" max="10957" width="9.140625" style="1"/>
    <col min="10958" max="10958" width="2.140625" style="1" customWidth="1"/>
    <col min="10959" max="10959" width="8.7109375" style="1" customWidth="1"/>
    <col min="10960" max="10960" width="9.85546875" style="1" customWidth="1"/>
    <col min="10961" max="10961" width="1" style="1" customWidth="1"/>
    <col min="10962" max="10962" width="10.85546875" style="1" customWidth="1"/>
    <col min="10963" max="10963" width="54.5703125" style="1" customWidth="1"/>
    <col min="10964" max="10965" width="22.85546875" style="1" customWidth="1"/>
    <col min="10966" max="10966" width="9.85546875" style="1" customWidth="1"/>
    <col min="10967" max="10967" width="13" style="1" customWidth="1"/>
    <col min="10968" max="10968" width="1" style="1" customWidth="1"/>
    <col min="10969" max="11213" width="9.140625" style="1"/>
    <col min="11214" max="11214" width="2.140625" style="1" customWidth="1"/>
    <col min="11215" max="11215" width="8.7109375" style="1" customWidth="1"/>
    <col min="11216" max="11216" width="9.85546875" style="1" customWidth="1"/>
    <col min="11217" max="11217" width="1" style="1" customWidth="1"/>
    <col min="11218" max="11218" width="10.85546875" style="1" customWidth="1"/>
    <col min="11219" max="11219" width="54.5703125" style="1" customWidth="1"/>
    <col min="11220" max="11221" width="22.85546875" style="1" customWidth="1"/>
    <col min="11222" max="11222" width="9.85546875" style="1" customWidth="1"/>
    <col min="11223" max="11223" width="13" style="1" customWidth="1"/>
    <col min="11224" max="11224" width="1" style="1" customWidth="1"/>
    <col min="11225" max="11469" width="9.140625" style="1"/>
    <col min="11470" max="11470" width="2.140625" style="1" customWidth="1"/>
    <col min="11471" max="11471" width="8.7109375" style="1" customWidth="1"/>
    <col min="11472" max="11472" width="9.85546875" style="1" customWidth="1"/>
    <col min="11473" max="11473" width="1" style="1" customWidth="1"/>
    <col min="11474" max="11474" width="10.85546875" style="1" customWidth="1"/>
    <col min="11475" max="11475" width="54.5703125" style="1" customWidth="1"/>
    <col min="11476" max="11477" width="22.85546875" style="1" customWidth="1"/>
    <col min="11478" max="11478" width="9.85546875" style="1" customWidth="1"/>
    <col min="11479" max="11479" width="13" style="1" customWidth="1"/>
    <col min="11480" max="11480" width="1" style="1" customWidth="1"/>
    <col min="11481" max="11725" width="9.140625" style="1"/>
    <col min="11726" max="11726" width="2.140625" style="1" customWidth="1"/>
    <col min="11727" max="11727" width="8.7109375" style="1" customWidth="1"/>
    <col min="11728" max="11728" width="9.85546875" style="1" customWidth="1"/>
    <col min="11729" max="11729" width="1" style="1" customWidth="1"/>
    <col min="11730" max="11730" width="10.85546875" style="1" customWidth="1"/>
    <col min="11731" max="11731" width="54.5703125" style="1" customWidth="1"/>
    <col min="11732" max="11733" width="22.85546875" style="1" customWidth="1"/>
    <col min="11734" max="11734" width="9.85546875" style="1" customWidth="1"/>
    <col min="11735" max="11735" width="13" style="1" customWidth="1"/>
    <col min="11736" max="11736" width="1" style="1" customWidth="1"/>
    <col min="11737" max="11981" width="9.140625" style="1"/>
    <col min="11982" max="11982" width="2.140625" style="1" customWidth="1"/>
    <col min="11983" max="11983" width="8.7109375" style="1" customWidth="1"/>
    <col min="11984" max="11984" width="9.85546875" style="1" customWidth="1"/>
    <col min="11985" max="11985" width="1" style="1" customWidth="1"/>
    <col min="11986" max="11986" width="10.85546875" style="1" customWidth="1"/>
    <col min="11987" max="11987" width="54.5703125" style="1" customWidth="1"/>
    <col min="11988" max="11989" width="22.85546875" style="1" customWidth="1"/>
    <col min="11990" max="11990" width="9.85546875" style="1" customWidth="1"/>
    <col min="11991" max="11991" width="13" style="1" customWidth="1"/>
    <col min="11992" max="11992" width="1" style="1" customWidth="1"/>
    <col min="11993" max="12237" width="9.140625" style="1"/>
    <col min="12238" max="12238" width="2.140625" style="1" customWidth="1"/>
    <col min="12239" max="12239" width="8.7109375" style="1" customWidth="1"/>
    <col min="12240" max="12240" width="9.85546875" style="1" customWidth="1"/>
    <col min="12241" max="12241" width="1" style="1" customWidth="1"/>
    <col min="12242" max="12242" width="10.85546875" style="1" customWidth="1"/>
    <col min="12243" max="12243" width="54.5703125" style="1" customWidth="1"/>
    <col min="12244" max="12245" width="22.85546875" style="1" customWidth="1"/>
    <col min="12246" max="12246" width="9.85546875" style="1" customWidth="1"/>
    <col min="12247" max="12247" width="13" style="1" customWidth="1"/>
    <col min="12248" max="12248" width="1" style="1" customWidth="1"/>
    <col min="12249" max="12493" width="9.140625" style="1"/>
    <col min="12494" max="12494" width="2.140625" style="1" customWidth="1"/>
    <col min="12495" max="12495" width="8.7109375" style="1" customWidth="1"/>
    <col min="12496" max="12496" width="9.85546875" style="1" customWidth="1"/>
    <col min="12497" max="12497" width="1" style="1" customWidth="1"/>
    <col min="12498" max="12498" width="10.85546875" style="1" customWidth="1"/>
    <col min="12499" max="12499" width="54.5703125" style="1" customWidth="1"/>
    <col min="12500" max="12501" width="22.85546875" style="1" customWidth="1"/>
    <col min="12502" max="12502" width="9.85546875" style="1" customWidth="1"/>
    <col min="12503" max="12503" width="13" style="1" customWidth="1"/>
    <col min="12504" max="12504" width="1" style="1" customWidth="1"/>
    <col min="12505" max="12749" width="9.140625" style="1"/>
    <col min="12750" max="12750" width="2.140625" style="1" customWidth="1"/>
    <col min="12751" max="12751" width="8.7109375" style="1" customWidth="1"/>
    <col min="12752" max="12752" width="9.85546875" style="1" customWidth="1"/>
    <col min="12753" max="12753" width="1" style="1" customWidth="1"/>
    <col min="12754" max="12754" width="10.85546875" style="1" customWidth="1"/>
    <col min="12755" max="12755" width="54.5703125" style="1" customWidth="1"/>
    <col min="12756" max="12757" width="22.85546875" style="1" customWidth="1"/>
    <col min="12758" max="12758" width="9.85546875" style="1" customWidth="1"/>
    <col min="12759" max="12759" width="13" style="1" customWidth="1"/>
    <col min="12760" max="12760" width="1" style="1" customWidth="1"/>
    <col min="12761" max="13005" width="9.140625" style="1"/>
    <col min="13006" max="13006" width="2.140625" style="1" customWidth="1"/>
    <col min="13007" max="13007" width="8.7109375" style="1" customWidth="1"/>
    <col min="13008" max="13008" width="9.85546875" style="1" customWidth="1"/>
    <col min="13009" max="13009" width="1" style="1" customWidth="1"/>
    <col min="13010" max="13010" width="10.85546875" style="1" customWidth="1"/>
    <col min="13011" max="13011" width="54.5703125" style="1" customWidth="1"/>
    <col min="13012" max="13013" width="22.85546875" style="1" customWidth="1"/>
    <col min="13014" max="13014" width="9.85546875" style="1" customWidth="1"/>
    <col min="13015" max="13015" width="13" style="1" customWidth="1"/>
    <col min="13016" max="13016" width="1" style="1" customWidth="1"/>
    <col min="13017" max="13261" width="9.140625" style="1"/>
    <col min="13262" max="13262" width="2.140625" style="1" customWidth="1"/>
    <col min="13263" max="13263" width="8.7109375" style="1" customWidth="1"/>
    <col min="13264" max="13264" width="9.85546875" style="1" customWidth="1"/>
    <col min="13265" max="13265" width="1" style="1" customWidth="1"/>
    <col min="13266" max="13266" width="10.85546875" style="1" customWidth="1"/>
    <col min="13267" max="13267" width="54.5703125" style="1" customWidth="1"/>
    <col min="13268" max="13269" width="22.85546875" style="1" customWidth="1"/>
    <col min="13270" max="13270" width="9.85546875" style="1" customWidth="1"/>
    <col min="13271" max="13271" width="13" style="1" customWidth="1"/>
    <col min="13272" max="13272" width="1" style="1" customWidth="1"/>
    <col min="13273" max="13517" width="9.140625" style="1"/>
    <col min="13518" max="13518" width="2.140625" style="1" customWidth="1"/>
    <col min="13519" max="13519" width="8.7109375" style="1" customWidth="1"/>
    <col min="13520" max="13520" width="9.85546875" style="1" customWidth="1"/>
    <col min="13521" max="13521" width="1" style="1" customWidth="1"/>
    <col min="13522" max="13522" width="10.85546875" style="1" customWidth="1"/>
    <col min="13523" max="13523" width="54.5703125" style="1" customWidth="1"/>
    <col min="13524" max="13525" width="22.85546875" style="1" customWidth="1"/>
    <col min="13526" max="13526" width="9.85546875" style="1" customWidth="1"/>
    <col min="13527" max="13527" width="13" style="1" customWidth="1"/>
    <col min="13528" max="13528" width="1" style="1" customWidth="1"/>
    <col min="13529" max="13773" width="9.140625" style="1"/>
    <col min="13774" max="13774" width="2.140625" style="1" customWidth="1"/>
    <col min="13775" max="13775" width="8.7109375" style="1" customWidth="1"/>
    <col min="13776" max="13776" width="9.85546875" style="1" customWidth="1"/>
    <col min="13777" max="13777" width="1" style="1" customWidth="1"/>
    <col min="13778" max="13778" width="10.85546875" style="1" customWidth="1"/>
    <col min="13779" max="13779" width="54.5703125" style="1" customWidth="1"/>
    <col min="13780" max="13781" width="22.85546875" style="1" customWidth="1"/>
    <col min="13782" max="13782" width="9.85546875" style="1" customWidth="1"/>
    <col min="13783" max="13783" width="13" style="1" customWidth="1"/>
    <col min="13784" max="13784" width="1" style="1" customWidth="1"/>
    <col min="13785" max="14029" width="9.140625" style="1"/>
    <col min="14030" max="14030" width="2.140625" style="1" customWidth="1"/>
    <col min="14031" max="14031" width="8.7109375" style="1" customWidth="1"/>
    <col min="14032" max="14032" width="9.85546875" style="1" customWidth="1"/>
    <col min="14033" max="14033" width="1" style="1" customWidth="1"/>
    <col min="14034" max="14034" width="10.85546875" style="1" customWidth="1"/>
    <col min="14035" max="14035" width="54.5703125" style="1" customWidth="1"/>
    <col min="14036" max="14037" width="22.85546875" style="1" customWidth="1"/>
    <col min="14038" max="14038" width="9.85546875" style="1" customWidth="1"/>
    <col min="14039" max="14039" width="13" style="1" customWidth="1"/>
    <col min="14040" max="14040" width="1" style="1" customWidth="1"/>
    <col min="14041" max="14285" width="9.140625" style="1"/>
    <col min="14286" max="14286" width="2.140625" style="1" customWidth="1"/>
    <col min="14287" max="14287" width="8.7109375" style="1" customWidth="1"/>
    <col min="14288" max="14288" width="9.85546875" style="1" customWidth="1"/>
    <col min="14289" max="14289" width="1" style="1" customWidth="1"/>
    <col min="14290" max="14290" width="10.85546875" style="1" customWidth="1"/>
    <col min="14291" max="14291" width="54.5703125" style="1" customWidth="1"/>
    <col min="14292" max="14293" width="22.85546875" style="1" customWidth="1"/>
    <col min="14294" max="14294" width="9.85546875" style="1" customWidth="1"/>
    <col min="14295" max="14295" width="13" style="1" customWidth="1"/>
    <col min="14296" max="14296" width="1" style="1" customWidth="1"/>
    <col min="14297" max="14541" width="9.140625" style="1"/>
    <col min="14542" max="14542" width="2.140625" style="1" customWidth="1"/>
    <col min="14543" max="14543" width="8.7109375" style="1" customWidth="1"/>
    <col min="14544" max="14544" width="9.85546875" style="1" customWidth="1"/>
    <col min="14545" max="14545" width="1" style="1" customWidth="1"/>
    <col min="14546" max="14546" width="10.85546875" style="1" customWidth="1"/>
    <col min="14547" max="14547" width="54.5703125" style="1" customWidth="1"/>
    <col min="14548" max="14549" width="22.85546875" style="1" customWidth="1"/>
    <col min="14550" max="14550" width="9.85546875" style="1" customWidth="1"/>
    <col min="14551" max="14551" width="13" style="1" customWidth="1"/>
    <col min="14552" max="14552" width="1" style="1" customWidth="1"/>
    <col min="14553" max="14797" width="9.140625" style="1"/>
    <col min="14798" max="14798" width="2.140625" style="1" customWidth="1"/>
    <col min="14799" max="14799" width="8.7109375" style="1" customWidth="1"/>
    <col min="14800" max="14800" width="9.85546875" style="1" customWidth="1"/>
    <col min="14801" max="14801" width="1" style="1" customWidth="1"/>
    <col min="14802" max="14802" width="10.85546875" style="1" customWidth="1"/>
    <col min="14803" max="14803" width="54.5703125" style="1" customWidth="1"/>
    <col min="14804" max="14805" width="22.85546875" style="1" customWidth="1"/>
    <col min="14806" max="14806" width="9.85546875" style="1" customWidth="1"/>
    <col min="14807" max="14807" width="13" style="1" customWidth="1"/>
    <col min="14808" max="14808" width="1" style="1" customWidth="1"/>
    <col min="14809" max="15053" width="9.140625" style="1"/>
    <col min="15054" max="15054" width="2.140625" style="1" customWidth="1"/>
    <col min="15055" max="15055" width="8.7109375" style="1" customWidth="1"/>
    <col min="15056" max="15056" width="9.85546875" style="1" customWidth="1"/>
    <col min="15057" max="15057" width="1" style="1" customWidth="1"/>
    <col min="15058" max="15058" width="10.85546875" style="1" customWidth="1"/>
    <col min="15059" max="15059" width="54.5703125" style="1" customWidth="1"/>
    <col min="15060" max="15061" width="22.85546875" style="1" customWidth="1"/>
    <col min="15062" max="15062" width="9.85546875" style="1" customWidth="1"/>
    <col min="15063" max="15063" width="13" style="1" customWidth="1"/>
    <col min="15064" max="15064" width="1" style="1" customWidth="1"/>
    <col min="15065" max="15309" width="9.140625" style="1"/>
    <col min="15310" max="15310" width="2.140625" style="1" customWidth="1"/>
    <col min="15311" max="15311" width="8.7109375" style="1" customWidth="1"/>
    <col min="15312" max="15312" width="9.85546875" style="1" customWidth="1"/>
    <col min="15313" max="15313" width="1" style="1" customWidth="1"/>
    <col min="15314" max="15314" width="10.85546875" style="1" customWidth="1"/>
    <col min="15315" max="15315" width="54.5703125" style="1" customWidth="1"/>
    <col min="15316" max="15317" width="22.85546875" style="1" customWidth="1"/>
    <col min="15318" max="15318" width="9.85546875" style="1" customWidth="1"/>
    <col min="15319" max="15319" width="13" style="1" customWidth="1"/>
    <col min="15320" max="15320" width="1" style="1" customWidth="1"/>
    <col min="15321" max="15565" width="9.140625" style="1"/>
    <col min="15566" max="15566" width="2.140625" style="1" customWidth="1"/>
    <col min="15567" max="15567" width="8.7109375" style="1" customWidth="1"/>
    <col min="15568" max="15568" width="9.85546875" style="1" customWidth="1"/>
    <col min="15569" max="15569" width="1" style="1" customWidth="1"/>
    <col min="15570" max="15570" width="10.85546875" style="1" customWidth="1"/>
    <col min="15571" max="15571" width="54.5703125" style="1" customWidth="1"/>
    <col min="15572" max="15573" width="22.85546875" style="1" customWidth="1"/>
    <col min="15574" max="15574" width="9.85546875" style="1" customWidth="1"/>
    <col min="15575" max="15575" width="13" style="1" customWidth="1"/>
    <col min="15576" max="15576" width="1" style="1" customWidth="1"/>
    <col min="15577" max="15821" width="9.140625" style="1"/>
    <col min="15822" max="15822" width="2.140625" style="1" customWidth="1"/>
    <col min="15823" max="15823" width="8.7109375" style="1" customWidth="1"/>
    <col min="15824" max="15824" width="9.85546875" style="1" customWidth="1"/>
    <col min="15825" max="15825" width="1" style="1" customWidth="1"/>
    <col min="15826" max="15826" width="10.85546875" style="1" customWidth="1"/>
    <col min="15827" max="15827" width="54.5703125" style="1" customWidth="1"/>
    <col min="15828" max="15829" width="22.85546875" style="1" customWidth="1"/>
    <col min="15830" max="15830" width="9.85546875" style="1" customWidth="1"/>
    <col min="15831" max="15831" width="13" style="1" customWidth="1"/>
    <col min="15832" max="15832" width="1" style="1" customWidth="1"/>
    <col min="15833" max="16384" width="9.140625" style="1"/>
  </cols>
  <sheetData>
    <row r="1" spans="1:29" ht="27.75" customHeight="1" x14ac:dyDescent="0.25">
      <c r="A1" s="169" t="s">
        <v>292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29" ht="42.75" customHeight="1" x14ac:dyDescent="0.25">
      <c r="A2" s="167" t="s">
        <v>293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29" ht="76.5" customHeight="1" x14ac:dyDescent="0.2">
      <c r="A3" s="142" t="s">
        <v>0</v>
      </c>
      <c r="B3" s="142" t="s">
        <v>1</v>
      </c>
      <c r="C3" s="142" t="s">
        <v>2</v>
      </c>
      <c r="D3" s="142" t="s">
        <v>3</v>
      </c>
      <c r="E3" s="143" t="s">
        <v>294</v>
      </c>
      <c r="F3" s="144" t="s">
        <v>295</v>
      </c>
      <c r="G3" s="144" t="s">
        <v>236</v>
      </c>
      <c r="H3" s="144" t="s">
        <v>296</v>
      </c>
      <c r="I3" s="144" t="s">
        <v>297</v>
      </c>
      <c r="J3" s="144" t="s">
        <v>298</v>
      </c>
      <c r="K3" s="76" t="s">
        <v>288</v>
      </c>
      <c r="L3" s="6" t="s">
        <v>253</v>
      </c>
      <c r="M3" s="3" t="s">
        <v>254</v>
      </c>
      <c r="N3" s="3" t="s">
        <v>237</v>
      </c>
      <c r="O3" s="3" t="s">
        <v>238</v>
      </c>
      <c r="P3" s="3" t="s">
        <v>239</v>
      </c>
      <c r="Q3" s="3" t="s">
        <v>240</v>
      </c>
      <c r="R3" s="4" t="s">
        <v>241</v>
      </c>
      <c r="S3" s="4" t="s">
        <v>242</v>
      </c>
      <c r="T3" s="3" t="s">
        <v>244</v>
      </c>
      <c r="U3" s="3" t="s">
        <v>243</v>
      </c>
      <c r="V3" s="3" t="s">
        <v>248</v>
      </c>
      <c r="W3" s="3" t="s">
        <v>245</v>
      </c>
      <c r="X3" s="3" t="s">
        <v>246</v>
      </c>
      <c r="Y3" s="3" t="s">
        <v>247</v>
      </c>
      <c r="Z3" s="3" t="s">
        <v>249</v>
      </c>
      <c r="AA3" s="3" t="s">
        <v>250</v>
      </c>
      <c r="AB3" s="3" t="s">
        <v>251</v>
      </c>
      <c r="AC3" s="3" t="s">
        <v>252</v>
      </c>
    </row>
    <row r="4" spans="1:29" s="57" customFormat="1" ht="24.75" customHeight="1" x14ac:dyDescent="0.2">
      <c r="A4" s="148" t="s">
        <v>4</v>
      </c>
      <c r="B4" s="148"/>
      <c r="C4" s="148"/>
      <c r="D4" s="145" t="s">
        <v>5</v>
      </c>
      <c r="E4" s="149">
        <f>E5+E7</f>
        <v>800394.4</v>
      </c>
      <c r="F4" s="149">
        <f>F5+F7</f>
        <v>795652.6</v>
      </c>
      <c r="G4" s="150">
        <f>F4/E4</f>
        <v>0.99407567069434766</v>
      </c>
      <c r="H4" s="149">
        <f>H5+H7</f>
        <v>800547.01</v>
      </c>
      <c r="I4" s="149">
        <f>I5+I7</f>
        <v>60000</v>
      </c>
      <c r="J4" s="150">
        <f>I4/E4</f>
        <v>7.4963043219692688E-2</v>
      </c>
      <c r="K4" s="139" t="e">
        <f t="shared" ref="K4:AC4" si="0">K5+K7</f>
        <v>#REF!</v>
      </c>
      <c r="L4" s="140" t="e">
        <f t="shared" si="0"/>
        <v>#REF!</v>
      </c>
      <c r="M4" s="140" t="e">
        <f t="shared" si="0"/>
        <v>#REF!</v>
      </c>
      <c r="N4" s="140" t="e">
        <f t="shared" si="0"/>
        <v>#REF!</v>
      </c>
      <c r="O4" s="140" t="e">
        <f t="shared" si="0"/>
        <v>#REF!</v>
      </c>
      <c r="P4" s="140" t="e">
        <f t="shared" si="0"/>
        <v>#REF!</v>
      </c>
      <c r="Q4" s="140" t="e">
        <f t="shared" si="0"/>
        <v>#REF!</v>
      </c>
      <c r="R4" s="140" t="e">
        <f t="shared" si="0"/>
        <v>#REF!</v>
      </c>
      <c r="S4" s="140" t="e">
        <f t="shared" si="0"/>
        <v>#REF!</v>
      </c>
      <c r="T4" s="140" t="e">
        <f t="shared" si="0"/>
        <v>#REF!</v>
      </c>
      <c r="U4" s="140" t="e">
        <f t="shared" si="0"/>
        <v>#REF!</v>
      </c>
      <c r="V4" s="140" t="e">
        <f t="shared" si="0"/>
        <v>#REF!</v>
      </c>
      <c r="W4" s="140" t="e">
        <f t="shared" si="0"/>
        <v>#REF!</v>
      </c>
      <c r="X4" s="140" t="e">
        <f t="shared" si="0"/>
        <v>#REF!</v>
      </c>
      <c r="Y4" s="140" t="e">
        <f t="shared" si="0"/>
        <v>#REF!</v>
      </c>
      <c r="Z4" s="140" t="e">
        <f t="shared" si="0"/>
        <v>#REF!</v>
      </c>
      <c r="AA4" s="140" t="e">
        <f t="shared" si="0"/>
        <v>#REF!</v>
      </c>
      <c r="AB4" s="140" t="e">
        <f t="shared" si="0"/>
        <v>#REF!</v>
      </c>
      <c r="AC4" s="141" t="e">
        <f t="shared" si="0"/>
        <v>#REF!</v>
      </c>
    </row>
    <row r="5" spans="1:29" ht="15" x14ac:dyDescent="0.2">
      <c r="A5" s="127"/>
      <c r="B5" s="155" t="s">
        <v>6</v>
      </c>
      <c r="C5" s="156"/>
      <c r="D5" s="157" t="s">
        <v>7</v>
      </c>
      <c r="E5" s="158">
        <f>E6</f>
        <v>148500</v>
      </c>
      <c r="F5" s="158">
        <f t="shared" ref="F5:J5" si="1">F6</f>
        <v>148500</v>
      </c>
      <c r="G5" s="159">
        <f t="shared" si="1"/>
        <v>1</v>
      </c>
      <c r="H5" s="158">
        <f t="shared" si="1"/>
        <v>148500</v>
      </c>
      <c r="I5" s="158">
        <f t="shared" si="1"/>
        <v>0</v>
      </c>
      <c r="J5" s="159">
        <f t="shared" si="1"/>
        <v>0</v>
      </c>
      <c r="K5" s="105" t="e">
        <f>#REF!+K6</f>
        <v>#REF!</v>
      </c>
      <c r="L5" s="96" t="e">
        <f>#REF!+L6</f>
        <v>#REF!</v>
      </c>
      <c r="M5" s="96" t="e">
        <f>#REF!+M6</f>
        <v>#REF!</v>
      </c>
      <c r="N5" s="96" t="e">
        <f>#REF!+N6</f>
        <v>#REF!</v>
      </c>
      <c r="O5" s="96" t="e">
        <f>#REF!+O6</f>
        <v>#REF!</v>
      </c>
      <c r="P5" s="96" t="e">
        <f>#REF!+P6</f>
        <v>#REF!</v>
      </c>
      <c r="Q5" s="96" t="e">
        <f>#REF!+Q6</f>
        <v>#REF!</v>
      </c>
      <c r="R5" s="96" t="e">
        <f>#REF!+R6</f>
        <v>#REF!</v>
      </c>
      <c r="S5" s="96" t="e">
        <f>#REF!+S6</f>
        <v>#REF!</v>
      </c>
      <c r="T5" s="96" t="e">
        <f>#REF!+T6</f>
        <v>#REF!</v>
      </c>
      <c r="U5" s="96" t="e">
        <f>#REF!+U6</f>
        <v>#REF!</v>
      </c>
      <c r="V5" s="96" t="e">
        <f>#REF!+V6</f>
        <v>#REF!</v>
      </c>
      <c r="W5" s="96" t="e">
        <f>#REF!+W6</f>
        <v>#REF!</v>
      </c>
      <c r="X5" s="96" t="e">
        <f>#REF!+X6</f>
        <v>#REF!</v>
      </c>
      <c r="Y5" s="96" t="e">
        <f>#REF!+Y6</f>
        <v>#REF!</v>
      </c>
      <c r="Z5" s="96" t="e">
        <f>#REF!+Z6</f>
        <v>#REF!</v>
      </c>
      <c r="AA5" s="96" t="e">
        <f>#REF!+AA6</f>
        <v>#REF!</v>
      </c>
      <c r="AB5" s="96" t="e">
        <f>#REF!+AB6</f>
        <v>#REF!</v>
      </c>
      <c r="AC5" s="97" t="e">
        <f>#REF!+AC6</f>
        <v>#REF!</v>
      </c>
    </row>
    <row r="6" spans="1:29" ht="56.25" x14ac:dyDescent="0.2">
      <c r="A6" s="128"/>
      <c r="B6" s="128"/>
      <c r="C6" s="128" t="s">
        <v>10</v>
      </c>
      <c r="D6" s="137" t="s">
        <v>11</v>
      </c>
      <c r="E6" s="62">
        <v>148500</v>
      </c>
      <c r="F6" s="65">
        <v>148500</v>
      </c>
      <c r="G6" s="50">
        <f>F6/E6</f>
        <v>1</v>
      </c>
      <c r="H6" s="65">
        <v>148500</v>
      </c>
      <c r="I6" s="65">
        <v>0</v>
      </c>
      <c r="J6" s="129">
        <v>0</v>
      </c>
      <c r="K6" s="106">
        <f t="shared" ref="K6:K98" si="2">L6+R6+S6</f>
        <v>0</v>
      </c>
      <c r="L6" s="31">
        <f>SUM(M6:Q6)</f>
        <v>0</v>
      </c>
      <c r="M6" s="31"/>
      <c r="N6" s="31"/>
      <c r="O6" s="31"/>
      <c r="P6" s="31">
        <v>0</v>
      </c>
      <c r="Q6" s="31"/>
      <c r="R6" s="31"/>
      <c r="S6" s="31">
        <f>SUM(T6:AC6)</f>
        <v>0</v>
      </c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5" x14ac:dyDescent="0.2">
      <c r="A7" s="127"/>
      <c r="B7" s="155" t="s">
        <v>12</v>
      </c>
      <c r="C7" s="156"/>
      <c r="D7" s="157" t="s">
        <v>13</v>
      </c>
      <c r="E7" s="158">
        <f>E8+E10+E9+E11</f>
        <v>651894.4</v>
      </c>
      <c r="F7" s="158">
        <f t="shared" ref="F7:I7" si="3">F8+F10+F9+F11</f>
        <v>647152.6</v>
      </c>
      <c r="G7" s="159">
        <f>F7/E7</f>
        <v>0.99272612251309411</v>
      </c>
      <c r="H7" s="158">
        <f t="shared" si="3"/>
        <v>652047.01</v>
      </c>
      <c r="I7" s="158">
        <f t="shared" si="3"/>
        <v>60000</v>
      </c>
      <c r="J7" s="159">
        <f>I7/E7</f>
        <v>9.2039446879740028E-2</v>
      </c>
      <c r="K7" s="107">
        <f t="shared" si="2"/>
        <v>60000</v>
      </c>
      <c r="L7" s="103">
        <f>L8+L10+L9</f>
        <v>60000</v>
      </c>
      <c r="M7" s="103">
        <f t="shared" ref="M7:AC7" si="4">M8+M10+M9</f>
        <v>0</v>
      </c>
      <c r="N7" s="103">
        <f t="shared" si="4"/>
        <v>46000</v>
      </c>
      <c r="O7" s="103">
        <f t="shared" si="4"/>
        <v>0</v>
      </c>
      <c r="P7" s="103">
        <f t="shared" si="4"/>
        <v>14000</v>
      </c>
      <c r="Q7" s="103">
        <f t="shared" si="4"/>
        <v>0</v>
      </c>
      <c r="R7" s="103">
        <f t="shared" si="4"/>
        <v>0</v>
      </c>
      <c r="S7" s="103">
        <f t="shared" si="4"/>
        <v>0</v>
      </c>
      <c r="T7" s="103">
        <f t="shared" si="4"/>
        <v>0</v>
      </c>
      <c r="U7" s="103">
        <f t="shared" si="4"/>
        <v>0</v>
      </c>
      <c r="V7" s="103">
        <f t="shared" si="4"/>
        <v>0</v>
      </c>
      <c r="W7" s="103">
        <f t="shared" si="4"/>
        <v>0</v>
      </c>
      <c r="X7" s="103">
        <f t="shared" si="4"/>
        <v>0</v>
      </c>
      <c r="Y7" s="103">
        <f t="shared" si="4"/>
        <v>0</v>
      </c>
      <c r="Z7" s="103">
        <f t="shared" si="4"/>
        <v>0</v>
      </c>
      <c r="AA7" s="103">
        <f t="shared" si="4"/>
        <v>0</v>
      </c>
      <c r="AB7" s="103">
        <f t="shared" si="4"/>
        <v>0</v>
      </c>
      <c r="AC7" s="103">
        <f t="shared" si="4"/>
        <v>0</v>
      </c>
    </row>
    <row r="8" spans="1:29" ht="67.5" x14ac:dyDescent="0.2">
      <c r="A8" s="128"/>
      <c r="B8" s="128"/>
      <c r="C8" s="128" t="s">
        <v>14</v>
      </c>
      <c r="D8" s="137" t="s">
        <v>15</v>
      </c>
      <c r="E8" s="62">
        <v>60000</v>
      </c>
      <c r="F8" s="65">
        <v>55105.59</v>
      </c>
      <c r="G8" s="50">
        <f t="shared" ref="G8:G98" si="5">F8/E8</f>
        <v>0.91842649999999992</v>
      </c>
      <c r="H8" s="65">
        <v>60000</v>
      </c>
      <c r="I8" s="65">
        <v>60000</v>
      </c>
      <c r="J8" s="129">
        <f t="shared" ref="J8:J98" si="6">I8/E8</f>
        <v>1</v>
      </c>
      <c r="K8" s="106">
        <f t="shared" si="2"/>
        <v>60000</v>
      </c>
      <c r="L8" s="31">
        <f>SUM(M8:Q8)</f>
        <v>60000</v>
      </c>
      <c r="M8" s="31"/>
      <c r="N8" s="82">
        <v>46000</v>
      </c>
      <c r="O8" s="31"/>
      <c r="P8" s="82">
        <v>14000</v>
      </c>
      <c r="Q8" s="31"/>
      <c r="R8" s="31"/>
      <c r="S8" s="31">
        <f>SUM(T8:AC8)</f>
        <v>0</v>
      </c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2" customFormat="1" x14ac:dyDescent="0.2">
      <c r="A9" s="128"/>
      <c r="B9" s="128"/>
      <c r="C9" s="154" t="s">
        <v>119</v>
      </c>
      <c r="D9" s="137" t="s">
        <v>120</v>
      </c>
      <c r="E9" s="62">
        <v>0</v>
      </c>
      <c r="F9" s="65">
        <v>152.61000000000001</v>
      </c>
      <c r="G9" s="50">
        <v>0</v>
      </c>
      <c r="H9" s="65">
        <v>152.61000000000001</v>
      </c>
      <c r="I9" s="65">
        <v>0</v>
      </c>
      <c r="J9" s="129">
        <v>0</v>
      </c>
      <c r="K9" s="106">
        <f>SUM(L9+S9+R9)</f>
        <v>0</v>
      </c>
      <c r="L9" s="31">
        <f>SUM(M9:Q9)</f>
        <v>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56.25" x14ac:dyDescent="0.2">
      <c r="A10" s="128"/>
      <c r="B10" s="128"/>
      <c r="C10" s="128" t="s">
        <v>16</v>
      </c>
      <c r="D10" s="137" t="s">
        <v>17</v>
      </c>
      <c r="E10" s="62">
        <v>571894.4</v>
      </c>
      <c r="F10" s="65">
        <v>571894.4</v>
      </c>
      <c r="G10" s="50">
        <f t="shared" si="5"/>
        <v>1</v>
      </c>
      <c r="H10" s="65">
        <v>571894.4</v>
      </c>
      <c r="I10" s="65">
        <v>0</v>
      </c>
      <c r="J10" s="129">
        <f t="shared" si="6"/>
        <v>0</v>
      </c>
      <c r="K10" s="39">
        <f t="shared" si="2"/>
        <v>0</v>
      </c>
      <c r="L10" s="32">
        <f>SUM(M10:Q10)</f>
        <v>0</v>
      </c>
      <c r="M10" s="32"/>
      <c r="N10" s="32"/>
      <c r="O10" s="32"/>
      <c r="P10" s="32">
        <v>0</v>
      </c>
      <c r="Q10" s="32"/>
      <c r="R10" s="32"/>
      <c r="S10" s="32">
        <f>SUM(T10:AC10)</f>
        <v>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s="74" customFormat="1" ht="45" x14ac:dyDescent="0.2">
      <c r="A11" s="128"/>
      <c r="B11" s="128"/>
      <c r="C11" s="128" t="s">
        <v>8</v>
      </c>
      <c r="D11" s="137" t="s">
        <v>9</v>
      </c>
      <c r="E11" s="62">
        <v>20000</v>
      </c>
      <c r="F11" s="65">
        <v>20000</v>
      </c>
      <c r="G11" s="50">
        <f t="shared" si="5"/>
        <v>1</v>
      </c>
      <c r="H11" s="65">
        <v>20000</v>
      </c>
      <c r="I11" s="65">
        <v>0</v>
      </c>
      <c r="J11" s="129">
        <v>0</v>
      </c>
      <c r="K11" s="39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s="38" customFormat="1" x14ac:dyDescent="0.2">
      <c r="A12" s="148" t="s">
        <v>275</v>
      </c>
      <c r="B12" s="152"/>
      <c r="C12" s="148"/>
      <c r="D12" s="145" t="s">
        <v>276</v>
      </c>
      <c r="E12" s="149">
        <f>E13</f>
        <v>0</v>
      </c>
      <c r="F12" s="149">
        <f t="shared" ref="F12:AC12" si="7">F13</f>
        <v>600</v>
      </c>
      <c r="G12" s="150">
        <v>0</v>
      </c>
      <c r="H12" s="149">
        <f t="shared" si="7"/>
        <v>600</v>
      </c>
      <c r="I12" s="149">
        <f t="shared" si="7"/>
        <v>0</v>
      </c>
      <c r="J12" s="150">
        <v>0</v>
      </c>
      <c r="K12" s="108">
        <f t="shared" si="7"/>
        <v>0</v>
      </c>
      <c r="L12" s="98">
        <f t="shared" si="7"/>
        <v>0</v>
      </c>
      <c r="M12" s="98">
        <f t="shared" si="7"/>
        <v>0</v>
      </c>
      <c r="N12" s="98">
        <f t="shared" si="7"/>
        <v>0</v>
      </c>
      <c r="O12" s="98">
        <f t="shared" si="7"/>
        <v>0</v>
      </c>
      <c r="P12" s="98">
        <f t="shared" si="7"/>
        <v>0</v>
      </c>
      <c r="Q12" s="98">
        <f t="shared" si="7"/>
        <v>0</v>
      </c>
      <c r="R12" s="98">
        <f t="shared" si="7"/>
        <v>0</v>
      </c>
      <c r="S12" s="98">
        <f t="shared" si="7"/>
        <v>0</v>
      </c>
      <c r="T12" s="98">
        <f t="shared" si="7"/>
        <v>0</v>
      </c>
      <c r="U12" s="98">
        <f t="shared" si="7"/>
        <v>0</v>
      </c>
      <c r="V12" s="98">
        <f t="shared" si="7"/>
        <v>0</v>
      </c>
      <c r="W12" s="98">
        <f t="shared" si="7"/>
        <v>0</v>
      </c>
      <c r="X12" s="98">
        <f t="shared" si="7"/>
        <v>0</v>
      </c>
      <c r="Y12" s="98">
        <f t="shared" si="7"/>
        <v>0</v>
      </c>
      <c r="Z12" s="98">
        <f t="shared" si="7"/>
        <v>0</v>
      </c>
      <c r="AA12" s="98">
        <f t="shared" si="7"/>
        <v>0</v>
      </c>
      <c r="AB12" s="98">
        <f t="shared" si="7"/>
        <v>0</v>
      </c>
      <c r="AC12" s="98">
        <f t="shared" si="7"/>
        <v>0</v>
      </c>
    </row>
    <row r="13" spans="1:29" s="2" customFormat="1" x14ac:dyDescent="0.2">
      <c r="A13" s="128"/>
      <c r="B13" s="161" t="s">
        <v>289</v>
      </c>
      <c r="C13" s="161"/>
      <c r="D13" s="157" t="s">
        <v>277</v>
      </c>
      <c r="E13" s="158">
        <f>E14</f>
        <v>0</v>
      </c>
      <c r="F13" s="158">
        <f t="shared" ref="F13:AC13" si="8">F14</f>
        <v>600</v>
      </c>
      <c r="G13" s="159">
        <v>0</v>
      </c>
      <c r="H13" s="158">
        <f t="shared" si="8"/>
        <v>600</v>
      </c>
      <c r="I13" s="158">
        <f t="shared" si="8"/>
        <v>0</v>
      </c>
      <c r="J13" s="159">
        <v>0</v>
      </c>
      <c r="K13" s="109">
        <f t="shared" si="8"/>
        <v>0</v>
      </c>
      <c r="L13" s="99">
        <f t="shared" si="8"/>
        <v>0</v>
      </c>
      <c r="M13" s="99">
        <f t="shared" si="8"/>
        <v>0</v>
      </c>
      <c r="N13" s="99">
        <f t="shared" si="8"/>
        <v>0</v>
      </c>
      <c r="O13" s="99">
        <f t="shared" si="8"/>
        <v>0</v>
      </c>
      <c r="P13" s="99">
        <f t="shared" si="8"/>
        <v>0</v>
      </c>
      <c r="Q13" s="99">
        <f t="shared" si="8"/>
        <v>0</v>
      </c>
      <c r="R13" s="99">
        <f t="shared" si="8"/>
        <v>0</v>
      </c>
      <c r="S13" s="99">
        <f t="shared" si="8"/>
        <v>0</v>
      </c>
      <c r="T13" s="99">
        <f t="shared" si="8"/>
        <v>0</v>
      </c>
      <c r="U13" s="99">
        <f t="shared" si="8"/>
        <v>0</v>
      </c>
      <c r="V13" s="99">
        <f t="shared" si="8"/>
        <v>0</v>
      </c>
      <c r="W13" s="99">
        <f t="shared" si="8"/>
        <v>0</v>
      </c>
      <c r="X13" s="99">
        <f t="shared" si="8"/>
        <v>0</v>
      </c>
      <c r="Y13" s="99">
        <f t="shared" si="8"/>
        <v>0</v>
      </c>
      <c r="Z13" s="99">
        <f t="shared" si="8"/>
        <v>0</v>
      </c>
      <c r="AA13" s="99">
        <f t="shared" si="8"/>
        <v>0</v>
      </c>
      <c r="AB13" s="99">
        <f t="shared" si="8"/>
        <v>0</v>
      </c>
      <c r="AC13" s="99">
        <f t="shared" si="8"/>
        <v>0</v>
      </c>
    </row>
    <row r="14" spans="1:29" s="2" customFormat="1" ht="22.5" x14ac:dyDescent="0.2">
      <c r="A14" s="128"/>
      <c r="B14" s="128"/>
      <c r="C14" s="154" t="s">
        <v>278</v>
      </c>
      <c r="D14" s="137" t="s">
        <v>282</v>
      </c>
      <c r="E14" s="62">
        <v>0</v>
      </c>
      <c r="F14" s="65">
        <v>600</v>
      </c>
      <c r="G14" s="50">
        <v>0</v>
      </c>
      <c r="H14" s="65">
        <v>600</v>
      </c>
      <c r="I14" s="65">
        <v>0</v>
      </c>
      <c r="J14" s="129">
        <v>0</v>
      </c>
      <c r="K14" s="106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26.25" customHeight="1" x14ac:dyDescent="0.2">
      <c r="A15" s="148" t="s">
        <v>18</v>
      </c>
      <c r="B15" s="152"/>
      <c r="C15" s="148"/>
      <c r="D15" s="145" t="s">
        <v>19</v>
      </c>
      <c r="E15" s="149">
        <f>E16</f>
        <v>25000</v>
      </c>
      <c r="F15" s="149">
        <f t="shared" ref="F15:AC15" si="9">F16</f>
        <v>39405</v>
      </c>
      <c r="G15" s="150">
        <f t="shared" si="5"/>
        <v>1.5762</v>
      </c>
      <c r="H15" s="149">
        <f t="shared" si="9"/>
        <v>39405</v>
      </c>
      <c r="I15" s="149">
        <f t="shared" si="9"/>
        <v>35000</v>
      </c>
      <c r="J15" s="151">
        <f t="shared" si="6"/>
        <v>1.4</v>
      </c>
      <c r="K15" s="110">
        <f t="shared" si="2"/>
        <v>25000</v>
      </c>
      <c r="L15" s="101">
        <f t="shared" si="9"/>
        <v>25000</v>
      </c>
      <c r="M15" s="100">
        <f t="shared" si="9"/>
        <v>0</v>
      </c>
      <c r="N15" s="100">
        <f t="shared" si="9"/>
        <v>25000</v>
      </c>
      <c r="O15" s="100">
        <f t="shared" si="9"/>
        <v>0</v>
      </c>
      <c r="P15" s="100">
        <f t="shared" si="9"/>
        <v>0</v>
      </c>
      <c r="Q15" s="100">
        <f t="shared" si="9"/>
        <v>0</v>
      </c>
      <c r="R15" s="100">
        <f t="shared" si="9"/>
        <v>0</v>
      </c>
      <c r="S15" s="100">
        <f t="shared" si="9"/>
        <v>0</v>
      </c>
      <c r="T15" s="100">
        <f t="shared" si="9"/>
        <v>0</v>
      </c>
      <c r="U15" s="100">
        <f t="shared" si="9"/>
        <v>0</v>
      </c>
      <c r="V15" s="100">
        <f t="shared" si="9"/>
        <v>0</v>
      </c>
      <c r="W15" s="100">
        <f t="shared" si="9"/>
        <v>0</v>
      </c>
      <c r="X15" s="100">
        <f t="shared" si="9"/>
        <v>0</v>
      </c>
      <c r="Y15" s="100">
        <f t="shared" si="9"/>
        <v>0</v>
      </c>
      <c r="Z15" s="100">
        <f t="shared" si="9"/>
        <v>0</v>
      </c>
      <c r="AA15" s="100">
        <f t="shared" si="9"/>
        <v>0</v>
      </c>
      <c r="AB15" s="100">
        <f t="shared" si="9"/>
        <v>0</v>
      </c>
      <c r="AC15" s="102">
        <f t="shared" si="9"/>
        <v>0</v>
      </c>
    </row>
    <row r="16" spans="1:29" ht="15" x14ac:dyDescent="0.2">
      <c r="A16" s="127"/>
      <c r="B16" s="155" t="s">
        <v>20</v>
      </c>
      <c r="C16" s="156"/>
      <c r="D16" s="157" t="s">
        <v>13</v>
      </c>
      <c r="E16" s="158">
        <f>E17</f>
        <v>25000</v>
      </c>
      <c r="F16" s="158">
        <f t="shared" ref="F16:AC16" si="10">F17</f>
        <v>39405</v>
      </c>
      <c r="G16" s="159">
        <f t="shared" si="5"/>
        <v>1.5762</v>
      </c>
      <c r="H16" s="158">
        <f t="shared" si="10"/>
        <v>39405</v>
      </c>
      <c r="I16" s="158">
        <f t="shared" si="10"/>
        <v>35000</v>
      </c>
      <c r="J16" s="160">
        <f t="shared" si="6"/>
        <v>1.4</v>
      </c>
      <c r="K16" s="107">
        <f t="shared" si="2"/>
        <v>25000</v>
      </c>
      <c r="L16" s="103">
        <f t="shared" si="10"/>
        <v>25000</v>
      </c>
      <c r="M16" s="96">
        <f t="shared" si="10"/>
        <v>0</v>
      </c>
      <c r="N16" s="96">
        <f t="shared" si="10"/>
        <v>25000</v>
      </c>
      <c r="O16" s="96">
        <f t="shared" si="10"/>
        <v>0</v>
      </c>
      <c r="P16" s="96">
        <f t="shared" si="10"/>
        <v>0</v>
      </c>
      <c r="Q16" s="96">
        <f t="shared" si="10"/>
        <v>0</v>
      </c>
      <c r="R16" s="96">
        <f t="shared" si="10"/>
        <v>0</v>
      </c>
      <c r="S16" s="96">
        <f t="shared" si="10"/>
        <v>0</v>
      </c>
      <c r="T16" s="96">
        <f t="shared" si="10"/>
        <v>0</v>
      </c>
      <c r="U16" s="96">
        <f t="shared" si="10"/>
        <v>0</v>
      </c>
      <c r="V16" s="96">
        <f t="shared" si="10"/>
        <v>0</v>
      </c>
      <c r="W16" s="96">
        <f t="shared" si="10"/>
        <v>0</v>
      </c>
      <c r="X16" s="96">
        <f t="shared" si="10"/>
        <v>0</v>
      </c>
      <c r="Y16" s="96">
        <f t="shared" si="10"/>
        <v>0</v>
      </c>
      <c r="Z16" s="96">
        <f t="shared" si="10"/>
        <v>0</v>
      </c>
      <c r="AA16" s="96">
        <f t="shared" si="10"/>
        <v>0</v>
      </c>
      <c r="AB16" s="96">
        <f t="shared" si="10"/>
        <v>0</v>
      </c>
      <c r="AC16" s="97">
        <f t="shared" si="10"/>
        <v>0</v>
      </c>
    </row>
    <row r="17" spans="1:29" x14ac:dyDescent="0.2">
      <c r="A17" s="128"/>
      <c r="B17" s="128"/>
      <c r="C17" s="128" t="s">
        <v>21</v>
      </c>
      <c r="D17" s="137" t="s">
        <v>22</v>
      </c>
      <c r="E17" s="62">
        <v>25000</v>
      </c>
      <c r="F17" s="65">
        <v>39405</v>
      </c>
      <c r="G17" s="50">
        <f t="shared" si="5"/>
        <v>1.5762</v>
      </c>
      <c r="H17" s="65">
        <v>39405</v>
      </c>
      <c r="I17" s="65">
        <v>35000</v>
      </c>
      <c r="J17" s="129">
        <f t="shared" si="6"/>
        <v>1.4</v>
      </c>
      <c r="K17" s="111">
        <f t="shared" si="2"/>
        <v>25000</v>
      </c>
      <c r="L17" s="31">
        <f>SUM(M17:Q17)</f>
        <v>25000</v>
      </c>
      <c r="M17" s="31"/>
      <c r="N17" s="31">
        <v>25000</v>
      </c>
      <c r="O17" s="31"/>
      <c r="P17" s="31">
        <v>0</v>
      </c>
      <c r="Q17" s="31"/>
      <c r="R17" s="31"/>
      <c r="S17" s="31">
        <f>SUM(T17:AC17)</f>
        <v>0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26.25" customHeight="1" x14ac:dyDescent="0.2">
      <c r="A18" s="148" t="s">
        <v>23</v>
      </c>
      <c r="B18" s="148"/>
      <c r="C18" s="148"/>
      <c r="D18" s="145" t="s">
        <v>24</v>
      </c>
      <c r="E18" s="149">
        <f>E19+E21</f>
        <v>2156546.62</v>
      </c>
      <c r="F18" s="149">
        <f t="shared" ref="F18:AC18" si="11">F19+F21</f>
        <v>95131.059999999939</v>
      </c>
      <c r="G18" s="150">
        <f t="shared" si="5"/>
        <v>4.4112684195067357E-2</v>
      </c>
      <c r="H18" s="149">
        <f t="shared" si="11"/>
        <v>95131.059999999939</v>
      </c>
      <c r="I18" s="149">
        <f t="shared" si="11"/>
        <v>97000</v>
      </c>
      <c r="J18" s="151">
        <f t="shared" si="6"/>
        <v>4.4979319760775675E-2</v>
      </c>
      <c r="K18" s="104" t="e">
        <f t="shared" si="2"/>
        <v>#REF!</v>
      </c>
      <c r="L18" s="94" t="e">
        <f t="shared" si="11"/>
        <v>#REF!</v>
      </c>
      <c r="M18" s="94" t="e">
        <f t="shared" si="11"/>
        <v>#REF!</v>
      </c>
      <c r="N18" s="94" t="e">
        <f t="shared" si="11"/>
        <v>#REF!</v>
      </c>
      <c r="O18" s="94" t="e">
        <f t="shared" si="11"/>
        <v>#REF!</v>
      </c>
      <c r="P18" s="94" t="e">
        <f t="shared" si="11"/>
        <v>#REF!</v>
      </c>
      <c r="Q18" s="94" t="e">
        <f t="shared" si="11"/>
        <v>#REF!</v>
      </c>
      <c r="R18" s="94" t="e">
        <f t="shared" si="11"/>
        <v>#REF!</v>
      </c>
      <c r="S18" s="94" t="e">
        <f t="shared" si="11"/>
        <v>#REF!</v>
      </c>
      <c r="T18" s="94" t="e">
        <f t="shared" si="11"/>
        <v>#REF!</v>
      </c>
      <c r="U18" s="94" t="e">
        <f t="shared" si="11"/>
        <v>#REF!</v>
      </c>
      <c r="V18" s="94" t="e">
        <f t="shared" si="11"/>
        <v>#REF!</v>
      </c>
      <c r="W18" s="94" t="e">
        <f t="shared" si="11"/>
        <v>#REF!</v>
      </c>
      <c r="X18" s="94" t="e">
        <f t="shared" si="11"/>
        <v>#REF!</v>
      </c>
      <c r="Y18" s="94" t="e">
        <f t="shared" si="11"/>
        <v>#REF!</v>
      </c>
      <c r="Z18" s="94" t="e">
        <f t="shared" si="11"/>
        <v>#REF!</v>
      </c>
      <c r="AA18" s="94" t="e">
        <f t="shared" si="11"/>
        <v>#REF!</v>
      </c>
      <c r="AB18" s="94" t="e">
        <f t="shared" si="11"/>
        <v>#REF!</v>
      </c>
      <c r="AC18" s="95" t="e">
        <f t="shared" si="11"/>
        <v>#REF!</v>
      </c>
    </row>
    <row r="19" spans="1:29" ht="15" x14ac:dyDescent="0.2">
      <c r="A19" s="127"/>
      <c r="B19" s="155" t="s">
        <v>25</v>
      </c>
      <c r="C19" s="156"/>
      <c r="D19" s="157" t="s">
        <v>26</v>
      </c>
      <c r="E19" s="158">
        <f>E20</f>
        <v>11000</v>
      </c>
      <c r="F19" s="158">
        <f t="shared" ref="F19:AC19" si="12">F20</f>
        <v>11000</v>
      </c>
      <c r="G19" s="159">
        <f t="shared" si="5"/>
        <v>1</v>
      </c>
      <c r="H19" s="158">
        <f t="shared" si="12"/>
        <v>11000</v>
      </c>
      <c r="I19" s="158">
        <f t="shared" si="12"/>
        <v>0</v>
      </c>
      <c r="J19" s="160">
        <f t="shared" si="6"/>
        <v>0</v>
      </c>
      <c r="K19" s="107">
        <f t="shared" si="2"/>
        <v>0</v>
      </c>
      <c r="L19" s="103">
        <f t="shared" si="12"/>
        <v>0</v>
      </c>
      <c r="M19" s="96">
        <f t="shared" si="12"/>
        <v>0</v>
      </c>
      <c r="N19" s="96">
        <f t="shared" si="12"/>
        <v>0</v>
      </c>
      <c r="O19" s="96">
        <f t="shared" si="12"/>
        <v>0</v>
      </c>
      <c r="P19" s="96">
        <f t="shared" si="12"/>
        <v>0</v>
      </c>
      <c r="Q19" s="96">
        <f t="shared" si="12"/>
        <v>0</v>
      </c>
      <c r="R19" s="96">
        <f t="shared" si="12"/>
        <v>0</v>
      </c>
      <c r="S19" s="96">
        <f t="shared" si="12"/>
        <v>0</v>
      </c>
      <c r="T19" s="96">
        <f t="shared" si="12"/>
        <v>0</v>
      </c>
      <c r="U19" s="96">
        <f t="shared" si="12"/>
        <v>0</v>
      </c>
      <c r="V19" s="96">
        <f t="shared" si="12"/>
        <v>0</v>
      </c>
      <c r="W19" s="96">
        <f t="shared" si="12"/>
        <v>0</v>
      </c>
      <c r="X19" s="96">
        <f t="shared" si="12"/>
        <v>0</v>
      </c>
      <c r="Y19" s="96">
        <f t="shared" si="12"/>
        <v>0</v>
      </c>
      <c r="Z19" s="96">
        <f t="shared" si="12"/>
        <v>0</v>
      </c>
      <c r="AA19" s="96">
        <f t="shared" si="12"/>
        <v>0</v>
      </c>
      <c r="AB19" s="96">
        <f t="shared" si="12"/>
        <v>0</v>
      </c>
      <c r="AC19" s="97">
        <f t="shared" si="12"/>
        <v>0</v>
      </c>
    </row>
    <row r="20" spans="1:29" ht="56.25" x14ac:dyDescent="0.2">
      <c r="A20" s="128"/>
      <c r="B20" s="128"/>
      <c r="C20" s="128" t="s">
        <v>27</v>
      </c>
      <c r="D20" s="137" t="s">
        <v>28</v>
      </c>
      <c r="E20" s="62">
        <v>11000</v>
      </c>
      <c r="F20" s="65">
        <v>11000</v>
      </c>
      <c r="G20" s="50">
        <f t="shared" si="5"/>
        <v>1</v>
      </c>
      <c r="H20" s="65">
        <v>11000</v>
      </c>
      <c r="I20" s="65">
        <v>0</v>
      </c>
      <c r="J20" s="129">
        <f t="shared" si="6"/>
        <v>0</v>
      </c>
      <c r="K20" s="39">
        <f t="shared" si="2"/>
        <v>0</v>
      </c>
      <c r="L20" s="31">
        <f>SUM(M20:Q20)</f>
        <v>0</v>
      </c>
      <c r="M20" s="31"/>
      <c r="N20" s="31"/>
      <c r="O20" s="31"/>
      <c r="P20" s="31">
        <v>0</v>
      </c>
      <c r="Q20" s="31"/>
      <c r="R20" s="31"/>
      <c r="S20" s="31">
        <f>SUM(T20:AC20)</f>
        <v>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" x14ac:dyDescent="0.2">
      <c r="A21" s="127"/>
      <c r="B21" s="155" t="s">
        <v>29</v>
      </c>
      <c r="C21" s="156"/>
      <c r="D21" s="157" t="s">
        <v>30</v>
      </c>
      <c r="E21" s="158">
        <f>E22+E23+E24+E25+E26</f>
        <v>2145546.62</v>
      </c>
      <c r="F21" s="158">
        <f t="shared" ref="F21:I21" si="13">F22+F23+F24+F25+F26</f>
        <v>84131.059999999939</v>
      </c>
      <c r="G21" s="159">
        <f>F21/E21</f>
        <v>3.9211946837118802E-2</v>
      </c>
      <c r="H21" s="158">
        <f t="shared" si="13"/>
        <v>84131.059999999939</v>
      </c>
      <c r="I21" s="158">
        <f t="shared" si="13"/>
        <v>97000</v>
      </c>
      <c r="J21" s="159">
        <f>I21/H21</f>
        <v>1.1529630079544946</v>
      </c>
      <c r="K21" s="107" t="e">
        <f t="shared" si="2"/>
        <v>#REF!</v>
      </c>
      <c r="L21" s="103" t="e">
        <f>L22+#REF!+L23+L24</f>
        <v>#REF!</v>
      </c>
      <c r="M21" s="103" t="e">
        <f>M22+#REF!+M23+M24</f>
        <v>#REF!</v>
      </c>
      <c r="N21" s="103" t="e">
        <f>N22+#REF!+N23+N24</f>
        <v>#REF!</v>
      </c>
      <c r="O21" s="103" t="e">
        <f>O22+#REF!+O23+O24</f>
        <v>#REF!</v>
      </c>
      <c r="P21" s="103" t="e">
        <f>P22+#REF!+P23+P24</f>
        <v>#REF!</v>
      </c>
      <c r="Q21" s="103" t="e">
        <f>Q22+#REF!+Q23+Q24</f>
        <v>#REF!</v>
      </c>
      <c r="R21" s="103" t="e">
        <f>R22+#REF!+R23+R24</f>
        <v>#REF!</v>
      </c>
      <c r="S21" s="103" t="e">
        <f>S22+#REF!+S23+S24</f>
        <v>#REF!</v>
      </c>
      <c r="T21" s="103" t="e">
        <f>T22+#REF!+T23+T24</f>
        <v>#REF!</v>
      </c>
      <c r="U21" s="103" t="e">
        <f>U22+#REF!+U23+U24</f>
        <v>#REF!</v>
      </c>
      <c r="V21" s="103" t="e">
        <f>V22+#REF!+V23+V24</f>
        <v>#REF!</v>
      </c>
      <c r="W21" s="103" t="e">
        <f>W22+#REF!+W23+W24</f>
        <v>#REF!</v>
      </c>
      <c r="X21" s="103" t="e">
        <f>X22+#REF!+X23+X24</f>
        <v>#REF!</v>
      </c>
      <c r="Y21" s="103" t="e">
        <f>Y22+#REF!+Y23+Y24</f>
        <v>#REF!</v>
      </c>
      <c r="Z21" s="103" t="e">
        <f>Z22+#REF!+Z23+Z24</f>
        <v>#REF!</v>
      </c>
      <c r="AA21" s="103" t="e">
        <f>AA22+#REF!+AA23+AA24</f>
        <v>#REF!</v>
      </c>
      <c r="AB21" s="103" t="e">
        <f>AB22+#REF!+AB23+AB24</f>
        <v>#REF!</v>
      </c>
      <c r="AC21" s="103" t="e">
        <f>AC22+#REF!+AC23+AC24</f>
        <v>#REF!</v>
      </c>
    </row>
    <row r="22" spans="1:29" ht="45" x14ac:dyDescent="0.2">
      <c r="A22" s="128"/>
      <c r="B22" s="128"/>
      <c r="C22" s="128" t="s">
        <v>31</v>
      </c>
      <c r="D22" s="137" t="s">
        <v>32</v>
      </c>
      <c r="E22" s="62">
        <v>83233</v>
      </c>
      <c r="F22" s="65">
        <v>97225.64</v>
      </c>
      <c r="G22" s="50">
        <f t="shared" si="5"/>
        <v>1.1681140893635937</v>
      </c>
      <c r="H22" s="65">
        <v>97225.64</v>
      </c>
      <c r="I22" s="65">
        <v>97000</v>
      </c>
      <c r="J22" s="129">
        <f t="shared" si="6"/>
        <v>1.1654031453870459</v>
      </c>
      <c r="K22" s="87">
        <f t="shared" si="2"/>
        <v>51200</v>
      </c>
      <c r="L22" s="32">
        <f>SUM(M22:Q22)</f>
        <v>51200</v>
      </c>
      <c r="M22" s="32"/>
      <c r="N22" s="86">
        <v>51200</v>
      </c>
      <c r="O22" s="32"/>
      <c r="P22" s="32">
        <v>0</v>
      </c>
      <c r="Q22" s="32"/>
      <c r="R22" s="32"/>
      <c r="S22" s="32">
        <f>SUM(T22:AC22)</f>
        <v>0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s="2" customFormat="1" ht="22.5" x14ac:dyDescent="0.2">
      <c r="A23" s="128"/>
      <c r="B23" s="128"/>
      <c r="C23" s="154" t="s">
        <v>96</v>
      </c>
      <c r="D23" s="137" t="s">
        <v>97</v>
      </c>
      <c r="E23" s="62">
        <v>0</v>
      </c>
      <c r="F23" s="65">
        <v>23.2</v>
      </c>
      <c r="G23" s="50">
        <v>0</v>
      </c>
      <c r="H23" s="65">
        <v>23.2</v>
      </c>
      <c r="I23" s="65">
        <v>0</v>
      </c>
      <c r="J23" s="129">
        <v>0</v>
      </c>
      <c r="K23" s="10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2" customFormat="1" ht="22.5" x14ac:dyDescent="0.2">
      <c r="A24" s="128"/>
      <c r="B24" s="128"/>
      <c r="C24" s="154" t="s">
        <v>86</v>
      </c>
      <c r="D24" s="137" t="s">
        <v>87</v>
      </c>
      <c r="E24" s="62">
        <v>0</v>
      </c>
      <c r="F24" s="65">
        <v>692.15</v>
      </c>
      <c r="G24" s="50">
        <v>0</v>
      </c>
      <c r="H24" s="65">
        <v>692.15</v>
      </c>
      <c r="I24" s="65">
        <v>0</v>
      </c>
      <c r="J24" s="129">
        <v>0</v>
      </c>
      <c r="K24" s="10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s="74" customFormat="1" ht="22.5" x14ac:dyDescent="0.2">
      <c r="A25" s="128"/>
      <c r="B25" s="128"/>
      <c r="C25" s="154" t="s">
        <v>299</v>
      </c>
      <c r="D25" s="137" t="s">
        <v>311</v>
      </c>
      <c r="E25" s="62">
        <v>0</v>
      </c>
      <c r="F25" s="65">
        <v>-925952</v>
      </c>
      <c r="G25" s="50">
        <v>0</v>
      </c>
      <c r="H25" s="65">
        <v>-925952</v>
      </c>
      <c r="I25" s="65">
        <v>0</v>
      </c>
      <c r="J25" s="129"/>
      <c r="K25" s="131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</row>
    <row r="26" spans="1:29" s="74" customFormat="1" ht="56.25" x14ac:dyDescent="0.2">
      <c r="A26" s="128"/>
      <c r="B26" s="128"/>
      <c r="C26" s="154" t="s">
        <v>300</v>
      </c>
      <c r="D26" s="137" t="s">
        <v>312</v>
      </c>
      <c r="E26" s="62">
        <v>2062313.62</v>
      </c>
      <c r="F26" s="65">
        <v>912142.07</v>
      </c>
      <c r="G26" s="50">
        <f t="shared" si="5"/>
        <v>0.44229066867143124</v>
      </c>
      <c r="H26" s="65">
        <v>912142.07</v>
      </c>
      <c r="I26" s="65">
        <v>0</v>
      </c>
      <c r="J26" s="129">
        <v>0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3"/>
    </row>
    <row r="27" spans="1:29" s="74" customFormat="1" x14ac:dyDescent="0.2">
      <c r="A27" s="148" t="s">
        <v>213</v>
      </c>
      <c r="B27" s="148"/>
      <c r="C27" s="152"/>
      <c r="D27" s="145" t="s">
        <v>214</v>
      </c>
      <c r="E27" s="149">
        <f>E28</f>
        <v>0</v>
      </c>
      <c r="F27" s="149">
        <f>F28</f>
        <v>11796.47</v>
      </c>
      <c r="G27" s="150">
        <v>0</v>
      </c>
      <c r="H27" s="153">
        <f>H28</f>
        <v>3200</v>
      </c>
      <c r="I27" s="153">
        <f>I28</f>
        <v>0</v>
      </c>
      <c r="J27" s="151">
        <v>0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3"/>
    </row>
    <row r="28" spans="1:29" s="74" customFormat="1" x14ac:dyDescent="0.2">
      <c r="A28" s="128"/>
      <c r="B28" s="155" t="s">
        <v>215</v>
      </c>
      <c r="C28" s="161"/>
      <c r="D28" s="157" t="s">
        <v>13</v>
      </c>
      <c r="E28" s="158">
        <f>E29+E30</f>
        <v>0</v>
      </c>
      <c r="F28" s="158">
        <f>F29+F30</f>
        <v>11796.47</v>
      </c>
      <c r="G28" s="159">
        <v>0</v>
      </c>
      <c r="H28" s="162">
        <f>H29</f>
        <v>3200</v>
      </c>
      <c r="I28" s="162">
        <f>I29</f>
        <v>0</v>
      </c>
      <c r="J28" s="160">
        <v>0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</row>
    <row r="29" spans="1:29" s="74" customFormat="1" ht="22.5" x14ac:dyDescent="0.2">
      <c r="A29" s="128"/>
      <c r="B29" s="128"/>
      <c r="C29" s="154" t="s">
        <v>54</v>
      </c>
      <c r="D29" s="137" t="s">
        <v>55</v>
      </c>
      <c r="E29" s="62">
        <v>0</v>
      </c>
      <c r="F29" s="65">
        <v>3200</v>
      </c>
      <c r="G29" s="50">
        <v>0</v>
      </c>
      <c r="H29" s="65">
        <v>3200</v>
      </c>
      <c r="I29" s="65">
        <v>0</v>
      </c>
      <c r="J29" s="129">
        <v>0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</row>
    <row r="30" spans="1:29" s="74" customFormat="1" ht="22.5" x14ac:dyDescent="0.2">
      <c r="A30" s="128"/>
      <c r="B30" s="128"/>
      <c r="C30" s="154" t="s">
        <v>290</v>
      </c>
      <c r="D30" s="137" t="s">
        <v>313</v>
      </c>
      <c r="E30" s="62">
        <v>0</v>
      </c>
      <c r="F30" s="65">
        <v>8596.4699999999993</v>
      </c>
      <c r="G30" s="50">
        <v>0</v>
      </c>
      <c r="H30" s="65">
        <v>8596.4699999999993</v>
      </c>
      <c r="I30" s="65">
        <v>0</v>
      </c>
      <c r="J30" s="129">
        <v>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</row>
    <row r="31" spans="1:29" ht="27.75" customHeight="1" x14ac:dyDescent="0.2">
      <c r="A31" s="148" t="s">
        <v>33</v>
      </c>
      <c r="B31" s="148"/>
      <c r="C31" s="148"/>
      <c r="D31" s="145" t="s">
        <v>34</v>
      </c>
      <c r="E31" s="149">
        <f>E32</f>
        <v>2297515.0499999998</v>
      </c>
      <c r="F31" s="149">
        <f t="shared" ref="F31:AC31" si="14">F32</f>
        <v>2070931.85</v>
      </c>
      <c r="G31" s="150">
        <f t="shared" si="5"/>
        <v>0.90137901381755925</v>
      </c>
      <c r="H31" s="149">
        <f t="shared" si="14"/>
        <v>2091386.83</v>
      </c>
      <c r="I31" s="149">
        <f t="shared" si="14"/>
        <v>1434700</v>
      </c>
      <c r="J31" s="151">
        <f t="shared" si="6"/>
        <v>0.62445728048658489</v>
      </c>
      <c r="K31" s="112" t="e">
        <f t="shared" si="2"/>
        <v>#REF!</v>
      </c>
      <c r="L31" s="101" t="e">
        <f t="shared" si="14"/>
        <v>#REF!</v>
      </c>
      <c r="M31" s="100" t="e">
        <f t="shared" si="14"/>
        <v>#REF!</v>
      </c>
      <c r="N31" s="100" t="e">
        <f t="shared" si="14"/>
        <v>#REF!</v>
      </c>
      <c r="O31" s="100" t="e">
        <f t="shared" si="14"/>
        <v>#REF!</v>
      </c>
      <c r="P31" s="100" t="e">
        <f t="shared" si="14"/>
        <v>#REF!</v>
      </c>
      <c r="Q31" s="100" t="e">
        <f t="shared" si="14"/>
        <v>#REF!</v>
      </c>
      <c r="R31" s="100" t="e">
        <f t="shared" si="14"/>
        <v>#REF!</v>
      </c>
      <c r="S31" s="100" t="e">
        <f t="shared" si="14"/>
        <v>#REF!</v>
      </c>
      <c r="T31" s="100" t="e">
        <f t="shared" si="14"/>
        <v>#REF!</v>
      </c>
      <c r="U31" s="100" t="e">
        <f t="shared" si="14"/>
        <v>#REF!</v>
      </c>
      <c r="V31" s="100" t="e">
        <f t="shared" si="14"/>
        <v>#REF!</v>
      </c>
      <c r="W31" s="100" t="e">
        <f t="shared" si="14"/>
        <v>#REF!</v>
      </c>
      <c r="X31" s="100" t="e">
        <f t="shared" si="14"/>
        <v>#REF!</v>
      </c>
      <c r="Y31" s="100" t="e">
        <f t="shared" si="14"/>
        <v>#REF!</v>
      </c>
      <c r="Z31" s="100" t="e">
        <f t="shared" si="14"/>
        <v>#REF!</v>
      </c>
      <c r="AA31" s="100" t="e">
        <f t="shared" si="14"/>
        <v>#REF!</v>
      </c>
      <c r="AB31" s="100" t="e">
        <f t="shared" si="14"/>
        <v>#REF!</v>
      </c>
      <c r="AC31" s="102" t="e">
        <f t="shared" si="14"/>
        <v>#REF!</v>
      </c>
    </row>
    <row r="32" spans="1:29" ht="15" x14ac:dyDescent="0.2">
      <c r="A32" s="127"/>
      <c r="B32" s="155" t="s">
        <v>35</v>
      </c>
      <c r="C32" s="156"/>
      <c r="D32" s="157" t="s">
        <v>36</v>
      </c>
      <c r="E32" s="158">
        <f>E33+E34+E35+E36+E37+E38+E39+E40+E41+E42+E43</f>
        <v>2297515.0499999998</v>
      </c>
      <c r="F32" s="158">
        <f t="shared" ref="F32:I32" si="15">F33+F34+F35+F36+F37+F38+F39+F40+F41+F42+F43</f>
        <v>2070931.85</v>
      </c>
      <c r="G32" s="159">
        <f>F32/E32</f>
        <v>0.90137901381755925</v>
      </c>
      <c r="H32" s="158">
        <f t="shared" si="15"/>
        <v>2091386.83</v>
      </c>
      <c r="I32" s="158">
        <f t="shared" si="15"/>
        <v>1434700</v>
      </c>
      <c r="J32" s="159">
        <f>I32/H32</f>
        <v>0.68600412865753768</v>
      </c>
      <c r="K32" s="107" t="e">
        <f t="shared" si="2"/>
        <v>#REF!</v>
      </c>
      <c r="L32" s="103" t="e">
        <f>L33+L34+L35+L36+L37+L38+#REF!+#REF!+L39+L40+L41</f>
        <v>#REF!</v>
      </c>
      <c r="M32" s="103" t="e">
        <f>M33+M34+M35+M36+M37+M38+#REF!+#REF!+M39+M40+M41</f>
        <v>#REF!</v>
      </c>
      <c r="N32" s="103" t="e">
        <f>N33+N34+N35+N36+N37+N38+#REF!+#REF!+N39+N40+N41</f>
        <v>#REF!</v>
      </c>
      <c r="O32" s="103" t="e">
        <f>O33+O34+O35+O36+O37+O38+#REF!+#REF!+O39+O40+O41</f>
        <v>#REF!</v>
      </c>
      <c r="P32" s="103" t="e">
        <f>P33+P34+P35+P36+P37+P38+#REF!+#REF!+P39+P40+P41</f>
        <v>#REF!</v>
      </c>
      <c r="Q32" s="103" t="e">
        <f>Q33+Q34+Q35+Q36+Q37+Q38+#REF!+#REF!+Q39+Q40+Q41</f>
        <v>#REF!</v>
      </c>
      <c r="R32" s="103" t="e">
        <f>R33+R34+R35+R36+R37+R38+#REF!+#REF!+R39+R40+R41</f>
        <v>#REF!</v>
      </c>
      <c r="S32" s="103" t="e">
        <f>S33+S34+S35+S36+S37+S38+#REF!+#REF!+S39+S40+S41</f>
        <v>#REF!</v>
      </c>
      <c r="T32" s="103" t="e">
        <f>T33+T34+T35+T36+T37+T38+#REF!+#REF!+T39+T40+T41</f>
        <v>#REF!</v>
      </c>
      <c r="U32" s="103" t="e">
        <f>U33+U34+U35+U36+U37+U38+#REF!+#REF!+U39+U40+U41</f>
        <v>#REF!</v>
      </c>
      <c r="V32" s="103" t="e">
        <f>V33+V34+V35+V36+V37+V38+#REF!+#REF!+V39+V40+V41</f>
        <v>#REF!</v>
      </c>
      <c r="W32" s="103" t="e">
        <f>W33+W34+W35+W36+W37+W38+#REF!+#REF!+W39+W40+W41</f>
        <v>#REF!</v>
      </c>
      <c r="X32" s="103" t="e">
        <f>X33+X34+X35+X36+X37+X38+#REF!+#REF!+X39+X40+X41</f>
        <v>#REF!</v>
      </c>
      <c r="Y32" s="103" t="e">
        <f>Y33+Y34+Y35+Y36+Y37+Y38+#REF!+#REF!+Y39+Y40+Y41</f>
        <v>#REF!</v>
      </c>
      <c r="Z32" s="103" t="e">
        <f>Z33+Z34+Z35+Z36+Z37+Z38+#REF!+#REF!+Z39+Z40+Z41</f>
        <v>#REF!</v>
      </c>
      <c r="AA32" s="103" t="e">
        <f>AA33+AA34+AA35+AA36+AA37+AA38+#REF!+#REF!+AA39+AA40+AA41</f>
        <v>#REF!</v>
      </c>
      <c r="AB32" s="103" t="e">
        <f>AB33+AB34+AB35+AB36+AB37+AB38+#REF!+#REF!+AB39+AB40+AB41</f>
        <v>#REF!</v>
      </c>
      <c r="AC32" s="103" t="e">
        <f>AC33+AC34+AC35+AC36+AC37+AC38+#REF!+#REF!+AC39+AC40+AC41</f>
        <v>#REF!</v>
      </c>
    </row>
    <row r="33" spans="1:29" ht="22.5" x14ac:dyDescent="0.2">
      <c r="A33" s="128"/>
      <c r="B33" s="128"/>
      <c r="C33" s="128" t="s">
        <v>37</v>
      </c>
      <c r="D33" s="137" t="s">
        <v>38</v>
      </c>
      <c r="E33" s="62">
        <v>61530</v>
      </c>
      <c r="F33" s="65">
        <v>71306.39</v>
      </c>
      <c r="G33" s="50">
        <f t="shared" si="5"/>
        <v>1.158888184625386</v>
      </c>
      <c r="H33" s="65">
        <v>71306.39</v>
      </c>
      <c r="I33" s="65">
        <v>71300</v>
      </c>
      <c r="J33" s="129">
        <f t="shared" si="6"/>
        <v>1.1587843328457663</v>
      </c>
      <c r="K33" s="106">
        <f t="shared" si="2"/>
        <v>90000</v>
      </c>
      <c r="L33" s="37">
        <f>SUM(M33:Q33)</f>
        <v>90000</v>
      </c>
      <c r="M33" s="31"/>
      <c r="N33" s="82">
        <v>90000</v>
      </c>
      <c r="O33" s="31"/>
      <c r="P33" s="31">
        <v>0</v>
      </c>
      <c r="Q33" s="31"/>
      <c r="R33" s="31"/>
      <c r="S33" s="31">
        <f>SUM(T33:AC33)</f>
        <v>0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22.5" x14ac:dyDescent="0.2">
      <c r="A34" s="128"/>
      <c r="B34" s="128"/>
      <c r="C34" s="128" t="s">
        <v>39</v>
      </c>
      <c r="D34" s="137" t="s">
        <v>40</v>
      </c>
      <c r="E34" s="62">
        <v>49000</v>
      </c>
      <c r="F34" s="65">
        <v>33177.15</v>
      </c>
      <c r="G34" s="50">
        <f t="shared" si="5"/>
        <v>0.6770846938775511</v>
      </c>
      <c r="H34" s="65">
        <v>33177.15</v>
      </c>
      <c r="I34" s="65">
        <v>49400</v>
      </c>
      <c r="J34" s="129">
        <f t="shared" si="6"/>
        <v>1.0081632653061225</v>
      </c>
      <c r="K34" s="106">
        <f t="shared" si="2"/>
        <v>0</v>
      </c>
      <c r="L34" s="37">
        <f t="shared" ref="L34:L41" si="16">SUM(M34:Q34)</f>
        <v>0</v>
      </c>
      <c r="M34" s="31"/>
      <c r="N34" s="31"/>
      <c r="O34" s="31"/>
      <c r="P34" s="31">
        <v>0</v>
      </c>
      <c r="Q34" s="31"/>
      <c r="R34" s="31"/>
      <c r="S34" s="31">
        <f t="shared" ref="S34:S38" si="17">SUM(T34:AC34)</f>
        <v>0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45" x14ac:dyDescent="0.2">
      <c r="A35" s="128"/>
      <c r="B35" s="128"/>
      <c r="C35" s="128" t="s">
        <v>41</v>
      </c>
      <c r="D35" s="137" t="s">
        <v>42</v>
      </c>
      <c r="E35" s="62">
        <v>189985.05</v>
      </c>
      <c r="F35" s="65">
        <v>189985.05</v>
      </c>
      <c r="G35" s="50">
        <f t="shared" si="5"/>
        <v>1</v>
      </c>
      <c r="H35" s="65">
        <v>189985.05</v>
      </c>
      <c r="I35" s="65">
        <v>0</v>
      </c>
      <c r="J35" s="129">
        <f t="shared" si="6"/>
        <v>0</v>
      </c>
      <c r="K35" s="106">
        <f t="shared" si="2"/>
        <v>0</v>
      </c>
      <c r="L35" s="37">
        <f t="shared" si="16"/>
        <v>0</v>
      </c>
      <c r="M35" s="31"/>
      <c r="N35" s="31">
        <v>0</v>
      </c>
      <c r="O35" s="31"/>
      <c r="P35" s="31">
        <v>0</v>
      </c>
      <c r="Q35" s="31"/>
      <c r="R35" s="31"/>
      <c r="S35" s="31">
        <f t="shared" si="17"/>
        <v>0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67.5" x14ac:dyDescent="0.2">
      <c r="A36" s="128"/>
      <c r="B36" s="128"/>
      <c r="C36" s="128" t="s">
        <v>14</v>
      </c>
      <c r="D36" s="137" t="s">
        <v>15</v>
      </c>
      <c r="E36" s="62">
        <v>282000</v>
      </c>
      <c r="F36" s="65">
        <v>35300.949999999997</v>
      </c>
      <c r="G36" s="50">
        <f t="shared" si="5"/>
        <v>0.12518067375886524</v>
      </c>
      <c r="H36" s="65">
        <v>47066</v>
      </c>
      <c r="I36" s="65">
        <v>67000</v>
      </c>
      <c r="J36" s="129">
        <f t="shared" si="6"/>
        <v>0.23758865248226951</v>
      </c>
      <c r="K36" s="106">
        <f t="shared" si="2"/>
        <v>282000</v>
      </c>
      <c r="L36" s="37">
        <f t="shared" si="16"/>
        <v>282000</v>
      </c>
      <c r="M36" s="31"/>
      <c r="N36" s="82">
        <v>32000</v>
      </c>
      <c r="O36" s="31"/>
      <c r="P36" s="82">
        <v>250000</v>
      </c>
      <c r="Q36" s="31"/>
      <c r="R36" s="31"/>
      <c r="S36" s="31">
        <f t="shared" si="17"/>
        <v>0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33.75" x14ac:dyDescent="0.2">
      <c r="A37" s="128"/>
      <c r="B37" s="128"/>
      <c r="C37" s="128" t="s">
        <v>43</v>
      </c>
      <c r="D37" s="137" t="s">
        <v>44</v>
      </c>
      <c r="E37" s="62">
        <v>50000</v>
      </c>
      <c r="F37" s="65">
        <v>41310.07</v>
      </c>
      <c r="G37" s="50">
        <f t="shared" si="5"/>
        <v>0.82620139999999997</v>
      </c>
      <c r="H37" s="65">
        <v>50000</v>
      </c>
      <c r="I37" s="65">
        <v>42000</v>
      </c>
      <c r="J37" s="129">
        <f t="shared" si="6"/>
        <v>0.84</v>
      </c>
      <c r="K37" s="106">
        <f t="shared" si="2"/>
        <v>50000</v>
      </c>
      <c r="L37" s="37">
        <f t="shared" si="16"/>
        <v>50000</v>
      </c>
      <c r="M37" s="31"/>
      <c r="N37" s="82">
        <v>50000</v>
      </c>
      <c r="O37" s="31"/>
      <c r="P37" s="31">
        <v>0</v>
      </c>
      <c r="Q37" s="31"/>
      <c r="R37" s="31"/>
      <c r="S37" s="31">
        <f t="shared" si="17"/>
        <v>0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33.75" x14ac:dyDescent="0.2">
      <c r="A38" s="128"/>
      <c r="B38" s="128"/>
      <c r="C38" s="128" t="s">
        <v>45</v>
      </c>
      <c r="D38" s="137" t="s">
        <v>46</v>
      </c>
      <c r="E38" s="62">
        <v>1660000</v>
      </c>
      <c r="F38" s="65">
        <v>1698896.7</v>
      </c>
      <c r="G38" s="50">
        <f t="shared" si="5"/>
        <v>1.0234317469879517</v>
      </c>
      <c r="H38" s="65">
        <v>1698896.7</v>
      </c>
      <c r="I38" s="65">
        <v>1200000</v>
      </c>
      <c r="J38" s="129">
        <f t="shared" si="6"/>
        <v>0.72289156626506024</v>
      </c>
      <c r="K38" s="106">
        <f t="shared" si="2"/>
        <v>1282400</v>
      </c>
      <c r="L38" s="37">
        <f t="shared" si="16"/>
        <v>1282400</v>
      </c>
      <c r="M38" s="31"/>
      <c r="N38" s="82">
        <v>1282400</v>
      </c>
      <c r="O38" s="31"/>
      <c r="P38" s="31">
        <v>0</v>
      </c>
      <c r="Q38" s="31"/>
      <c r="R38" s="31"/>
      <c r="S38" s="31">
        <f t="shared" si="17"/>
        <v>0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s="2" customFormat="1" x14ac:dyDescent="0.2">
      <c r="A39" s="128"/>
      <c r="B39" s="128"/>
      <c r="C39" s="154" t="s">
        <v>66</v>
      </c>
      <c r="D39" s="137" t="s">
        <v>67</v>
      </c>
      <c r="E39" s="62">
        <v>0</v>
      </c>
      <c r="F39" s="65">
        <v>3.78</v>
      </c>
      <c r="G39" s="50">
        <v>0</v>
      </c>
      <c r="H39" s="65">
        <v>3.78</v>
      </c>
      <c r="I39" s="65">
        <v>0</v>
      </c>
      <c r="J39" s="129">
        <v>0</v>
      </c>
      <c r="K39" s="106">
        <f t="shared" si="2"/>
        <v>5000</v>
      </c>
      <c r="L39" s="37">
        <f t="shared" si="16"/>
        <v>5000</v>
      </c>
      <c r="M39" s="31"/>
      <c r="N39" s="82">
        <v>5000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s="2" customFormat="1" ht="22.5" x14ac:dyDescent="0.2">
      <c r="A40" s="128"/>
      <c r="B40" s="128"/>
      <c r="C40" s="154" t="s">
        <v>86</v>
      </c>
      <c r="D40" s="137" t="s">
        <v>87</v>
      </c>
      <c r="E40" s="62">
        <v>0</v>
      </c>
      <c r="F40" s="65">
        <v>459.52</v>
      </c>
      <c r="G40" s="50">
        <v>0</v>
      </c>
      <c r="H40" s="65">
        <v>459.52</v>
      </c>
      <c r="I40" s="65">
        <v>0</v>
      </c>
      <c r="J40" s="129">
        <v>0</v>
      </c>
      <c r="K40" s="106"/>
      <c r="L40" s="37">
        <f t="shared" si="16"/>
        <v>0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2" customFormat="1" x14ac:dyDescent="0.2">
      <c r="A41" s="128"/>
      <c r="B41" s="128"/>
      <c r="C41" s="154" t="s">
        <v>119</v>
      </c>
      <c r="D41" s="137" t="s">
        <v>120</v>
      </c>
      <c r="E41" s="62">
        <v>0</v>
      </c>
      <c r="F41" s="65">
        <v>5.42</v>
      </c>
      <c r="G41" s="50">
        <v>0</v>
      </c>
      <c r="H41" s="65">
        <v>5.42</v>
      </c>
      <c r="I41" s="65">
        <v>0</v>
      </c>
      <c r="J41" s="129">
        <v>0</v>
      </c>
      <c r="K41" s="106"/>
      <c r="L41" s="37">
        <f t="shared" si="16"/>
        <v>0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s="74" customFormat="1" x14ac:dyDescent="0.2">
      <c r="A42" s="128"/>
      <c r="B42" s="128"/>
      <c r="C42" s="154" t="s">
        <v>121</v>
      </c>
      <c r="D42" s="137" t="s">
        <v>122</v>
      </c>
      <c r="E42" s="62">
        <v>0</v>
      </c>
      <c r="F42" s="65">
        <v>486.82</v>
      </c>
      <c r="G42" s="50">
        <v>0</v>
      </c>
      <c r="H42" s="65">
        <v>486.82</v>
      </c>
      <c r="I42" s="65">
        <v>0</v>
      </c>
      <c r="J42" s="129">
        <v>0</v>
      </c>
      <c r="K42" s="39"/>
      <c r="L42" s="37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s="74" customFormat="1" x14ac:dyDescent="0.2">
      <c r="A43" s="128"/>
      <c r="B43" s="128"/>
      <c r="C43" s="154" t="s">
        <v>56</v>
      </c>
      <c r="D43" s="137" t="s">
        <v>57</v>
      </c>
      <c r="E43" s="62">
        <v>5000</v>
      </c>
      <c r="F43" s="65">
        <v>0</v>
      </c>
      <c r="G43" s="50">
        <v>0</v>
      </c>
      <c r="H43" s="65">
        <v>0</v>
      </c>
      <c r="I43" s="65">
        <v>5000</v>
      </c>
      <c r="J43" s="129">
        <v>0</v>
      </c>
      <c r="K43" s="39"/>
      <c r="L43" s="37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s="74" customFormat="1" x14ac:dyDescent="0.2">
      <c r="A44" s="148" t="s">
        <v>216</v>
      </c>
      <c r="B44" s="148"/>
      <c r="C44" s="148"/>
      <c r="D44" s="145" t="s">
        <v>217</v>
      </c>
      <c r="E44" s="149">
        <f>E45</f>
        <v>33000</v>
      </c>
      <c r="F44" s="149">
        <f>F45</f>
        <v>33000</v>
      </c>
      <c r="G44" s="150">
        <f>F44/E44</f>
        <v>1</v>
      </c>
      <c r="H44" s="153">
        <f>H45</f>
        <v>33000</v>
      </c>
      <c r="I44" s="153">
        <f>I45</f>
        <v>0</v>
      </c>
      <c r="J44" s="151">
        <v>0</v>
      </c>
      <c r="K44" s="39"/>
      <c r="L44" s="39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</row>
    <row r="45" spans="1:29" s="74" customFormat="1" x14ac:dyDescent="0.2">
      <c r="A45" s="128"/>
      <c r="B45" s="155" t="s">
        <v>218</v>
      </c>
      <c r="C45" s="155"/>
      <c r="D45" s="157" t="s">
        <v>219</v>
      </c>
      <c r="E45" s="158">
        <f>E46</f>
        <v>33000</v>
      </c>
      <c r="F45" s="158">
        <f>F46</f>
        <v>33000</v>
      </c>
      <c r="G45" s="159">
        <f>F45/E45</f>
        <v>1</v>
      </c>
      <c r="H45" s="162">
        <f>H46</f>
        <v>33000</v>
      </c>
      <c r="I45" s="162">
        <f>I46</f>
        <v>0</v>
      </c>
      <c r="J45" s="160">
        <v>0</v>
      </c>
      <c r="K45" s="39"/>
      <c r="L45" s="39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3"/>
    </row>
    <row r="46" spans="1:29" s="74" customFormat="1" ht="45" x14ac:dyDescent="0.2">
      <c r="A46" s="128"/>
      <c r="B46" s="128"/>
      <c r="C46" s="128" t="s">
        <v>301</v>
      </c>
      <c r="D46" s="137" t="s">
        <v>305</v>
      </c>
      <c r="E46" s="62">
        <v>33000</v>
      </c>
      <c r="F46" s="65">
        <v>33000</v>
      </c>
      <c r="G46" s="50">
        <f>F46/E46</f>
        <v>1</v>
      </c>
      <c r="H46" s="65">
        <v>33000</v>
      </c>
      <c r="I46" s="65">
        <v>0</v>
      </c>
      <c r="J46" s="129">
        <v>0</v>
      </c>
      <c r="K46" s="39"/>
      <c r="L46" s="39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3"/>
    </row>
    <row r="47" spans="1:29" ht="27" customHeight="1" x14ac:dyDescent="0.2">
      <c r="A47" s="148" t="s">
        <v>48</v>
      </c>
      <c r="B47" s="148"/>
      <c r="C47" s="148"/>
      <c r="D47" s="145" t="s">
        <v>49</v>
      </c>
      <c r="E47" s="149">
        <f>E48+E51+E56+E58</f>
        <v>204899.78</v>
      </c>
      <c r="F47" s="149">
        <f t="shared" ref="F47:I47" si="18">F48+F51+F56+F58</f>
        <v>171223.03</v>
      </c>
      <c r="G47" s="150">
        <f>F47/E47</f>
        <v>0.83564282011430169</v>
      </c>
      <c r="H47" s="149">
        <f t="shared" si="18"/>
        <v>210336.06</v>
      </c>
      <c r="I47" s="149">
        <f t="shared" si="18"/>
        <v>167172</v>
      </c>
      <c r="J47" s="150">
        <f>I47/E47</f>
        <v>0.81587203265908825</v>
      </c>
      <c r="K47" s="107">
        <f t="shared" si="2"/>
        <v>163935</v>
      </c>
      <c r="L47" s="105">
        <f t="shared" ref="L47:AC47" si="19">L48+L51</f>
        <v>163935</v>
      </c>
      <c r="M47" s="94" t="e">
        <f>M48+M51+M58+#REF!</f>
        <v>#REF!</v>
      </c>
      <c r="N47" s="94">
        <f t="shared" si="19"/>
        <v>0</v>
      </c>
      <c r="O47" s="94">
        <f t="shared" si="19"/>
        <v>0</v>
      </c>
      <c r="P47" s="94">
        <f t="shared" si="19"/>
        <v>1700</v>
      </c>
      <c r="Q47" s="94">
        <f t="shared" si="19"/>
        <v>0</v>
      </c>
      <c r="R47" s="94">
        <f t="shared" si="19"/>
        <v>0</v>
      </c>
      <c r="S47" s="94">
        <f t="shared" si="19"/>
        <v>0</v>
      </c>
      <c r="T47" s="94">
        <f t="shared" si="19"/>
        <v>0</v>
      </c>
      <c r="U47" s="94">
        <f t="shared" si="19"/>
        <v>0</v>
      </c>
      <c r="V47" s="94">
        <f t="shared" si="19"/>
        <v>0</v>
      </c>
      <c r="W47" s="94">
        <f t="shared" si="19"/>
        <v>0</v>
      </c>
      <c r="X47" s="94">
        <f t="shared" si="19"/>
        <v>0</v>
      </c>
      <c r="Y47" s="94">
        <f t="shared" si="19"/>
        <v>0</v>
      </c>
      <c r="Z47" s="94">
        <f t="shared" si="19"/>
        <v>0</v>
      </c>
      <c r="AA47" s="94">
        <f t="shared" si="19"/>
        <v>0</v>
      </c>
      <c r="AB47" s="94">
        <f t="shared" si="19"/>
        <v>0</v>
      </c>
      <c r="AC47" s="95">
        <f t="shared" si="19"/>
        <v>0</v>
      </c>
    </row>
    <row r="48" spans="1:29" ht="15" x14ac:dyDescent="0.2">
      <c r="A48" s="127"/>
      <c r="B48" s="155" t="s">
        <v>50</v>
      </c>
      <c r="C48" s="156"/>
      <c r="D48" s="157" t="s">
        <v>51</v>
      </c>
      <c r="E48" s="158">
        <f>E49+E50</f>
        <v>169436</v>
      </c>
      <c r="F48" s="158">
        <f t="shared" ref="F48:I48" si="20">F49+F50</f>
        <v>126673.15</v>
      </c>
      <c r="G48" s="159">
        <f>F48/E48</f>
        <v>0.74761650416676495</v>
      </c>
      <c r="H48" s="158">
        <f t="shared" si="20"/>
        <v>169456.15</v>
      </c>
      <c r="I48" s="158">
        <f t="shared" si="20"/>
        <v>165472</v>
      </c>
      <c r="J48" s="159">
        <f>I48/H48</f>
        <v>0.97648860781978108</v>
      </c>
      <c r="K48" s="107">
        <f>L48+R48+S48</f>
        <v>162235</v>
      </c>
      <c r="L48" s="103">
        <f>L49+L50</f>
        <v>162235</v>
      </c>
      <c r="M48" s="103">
        <f>M49+M50</f>
        <v>162235</v>
      </c>
      <c r="N48" s="103">
        <f t="shared" ref="N48:AC48" si="21">N49+N50</f>
        <v>0</v>
      </c>
      <c r="O48" s="103">
        <f t="shared" si="21"/>
        <v>0</v>
      </c>
      <c r="P48" s="103">
        <f t="shared" si="21"/>
        <v>0</v>
      </c>
      <c r="Q48" s="103">
        <f t="shared" si="21"/>
        <v>0</v>
      </c>
      <c r="R48" s="103">
        <f t="shared" si="21"/>
        <v>0</v>
      </c>
      <c r="S48" s="103">
        <f t="shared" si="21"/>
        <v>0</v>
      </c>
      <c r="T48" s="103">
        <f t="shared" si="21"/>
        <v>0</v>
      </c>
      <c r="U48" s="103">
        <f t="shared" si="21"/>
        <v>0</v>
      </c>
      <c r="V48" s="103">
        <f t="shared" si="21"/>
        <v>0</v>
      </c>
      <c r="W48" s="103">
        <f t="shared" si="21"/>
        <v>0</v>
      </c>
      <c r="X48" s="103">
        <f t="shared" si="21"/>
        <v>0</v>
      </c>
      <c r="Y48" s="103">
        <f t="shared" si="21"/>
        <v>0</v>
      </c>
      <c r="Z48" s="103">
        <f t="shared" si="21"/>
        <v>0</v>
      </c>
      <c r="AA48" s="103">
        <f t="shared" si="21"/>
        <v>0</v>
      </c>
      <c r="AB48" s="103">
        <f t="shared" si="21"/>
        <v>0</v>
      </c>
      <c r="AC48" s="103">
        <f t="shared" si="21"/>
        <v>0</v>
      </c>
    </row>
    <row r="49" spans="1:29" ht="56.25" x14ac:dyDescent="0.2">
      <c r="A49" s="128"/>
      <c r="B49" s="128"/>
      <c r="C49" s="128" t="s">
        <v>16</v>
      </c>
      <c r="D49" s="137" t="s">
        <v>17</v>
      </c>
      <c r="E49" s="62">
        <v>169436</v>
      </c>
      <c r="F49" s="65">
        <v>126653</v>
      </c>
      <c r="G49" s="50">
        <f t="shared" si="5"/>
        <v>0.74749758020727586</v>
      </c>
      <c r="H49" s="65">
        <v>169436</v>
      </c>
      <c r="I49" s="65">
        <v>165472</v>
      </c>
      <c r="J49" s="129">
        <f t="shared" si="6"/>
        <v>0.97660473571141904</v>
      </c>
      <c r="K49" s="39">
        <f t="shared" si="2"/>
        <v>162235</v>
      </c>
      <c r="L49" s="32">
        <f>SUM(M49:Q49)</f>
        <v>162235</v>
      </c>
      <c r="M49" s="86">
        <v>162235</v>
      </c>
      <c r="N49" s="32"/>
      <c r="O49" s="32"/>
      <c r="P49" s="32">
        <v>0</v>
      </c>
      <c r="Q49" s="32"/>
      <c r="R49" s="32"/>
      <c r="S49" s="32">
        <f>SUM(T49:AC49)</f>
        <v>0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s="2" customFormat="1" ht="45" x14ac:dyDescent="0.2">
      <c r="A50" s="128"/>
      <c r="B50" s="128"/>
      <c r="C50" s="128" t="s">
        <v>170</v>
      </c>
      <c r="D50" s="137" t="s">
        <v>171</v>
      </c>
      <c r="E50" s="62">
        <v>0</v>
      </c>
      <c r="F50" s="65">
        <v>20.149999999999999</v>
      </c>
      <c r="G50" s="50">
        <v>0</v>
      </c>
      <c r="H50" s="65">
        <v>20.149999999999999</v>
      </c>
      <c r="I50" s="65">
        <v>0</v>
      </c>
      <c r="J50" s="129">
        <v>0</v>
      </c>
      <c r="K50" s="106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22.5" x14ac:dyDescent="0.2">
      <c r="A51" s="127"/>
      <c r="B51" s="155" t="s">
        <v>52</v>
      </c>
      <c r="C51" s="156"/>
      <c r="D51" s="157" t="s">
        <v>53</v>
      </c>
      <c r="E51" s="158">
        <f>E52+E55+E53+E54</f>
        <v>1700</v>
      </c>
      <c r="F51" s="158">
        <f>F52+F55+F53+F54</f>
        <v>5393.17</v>
      </c>
      <c r="G51" s="159">
        <f t="shared" si="5"/>
        <v>3.1724529411764708</v>
      </c>
      <c r="H51" s="158">
        <f>H52+H55+H53</f>
        <v>1723.2</v>
      </c>
      <c r="I51" s="158">
        <f>I52+I55+I53</f>
        <v>1700</v>
      </c>
      <c r="J51" s="160">
        <f t="shared" si="6"/>
        <v>1</v>
      </c>
      <c r="K51" s="113">
        <f t="shared" si="2"/>
        <v>1700</v>
      </c>
      <c r="L51" s="55">
        <f t="shared" ref="L51" si="22">L52+L55</f>
        <v>1700</v>
      </c>
      <c r="M51" s="54">
        <f>M52+M55+M53</f>
        <v>0</v>
      </c>
      <c r="N51" s="54">
        <f t="shared" ref="N51:AC51" si="23">N52+N55+N53</f>
        <v>0</v>
      </c>
      <c r="O51" s="54">
        <f t="shared" si="23"/>
        <v>0</v>
      </c>
      <c r="P51" s="54">
        <f t="shared" si="23"/>
        <v>1700</v>
      </c>
      <c r="Q51" s="54">
        <f t="shared" si="23"/>
        <v>0</v>
      </c>
      <c r="R51" s="54">
        <f t="shared" si="23"/>
        <v>0</v>
      </c>
      <c r="S51" s="54">
        <f t="shared" si="23"/>
        <v>0</v>
      </c>
      <c r="T51" s="54">
        <f t="shared" si="23"/>
        <v>0</v>
      </c>
      <c r="U51" s="54">
        <f t="shared" si="23"/>
        <v>0</v>
      </c>
      <c r="V51" s="54">
        <f t="shared" si="23"/>
        <v>0</v>
      </c>
      <c r="W51" s="54">
        <f t="shared" si="23"/>
        <v>0</v>
      </c>
      <c r="X51" s="54">
        <f t="shared" si="23"/>
        <v>0</v>
      </c>
      <c r="Y51" s="54">
        <f t="shared" si="23"/>
        <v>0</v>
      </c>
      <c r="Z51" s="54">
        <f t="shared" si="23"/>
        <v>0</v>
      </c>
      <c r="AA51" s="54">
        <f t="shared" si="23"/>
        <v>0</v>
      </c>
      <c r="AB51" s="54">
        <f t="shared" si="23"/>
        <v>0</v>
      </c>
      <c r="AC51" s="54">
        <f t="shared" si="23"/>
        <v>0</v>
      </c>
    </row>
    <row r="52" spans="1:29" ht="22.5" x14ac:dyDescent="0.2">
      <c r="A52" s="128"/>
      <c r="B52" s="128"/>
      <c r="C52" s="128" t="s">
        <v>54</v>
      </c>
      <c r="D52" s="137" t="s">
        <v>55</v>
      </c>
      <c r="E52" s="62">
        <v>1000</v>
      </c>
      <c r="F52" s="65">
        <v>800</v>
      </c>
      <c r="G52" s="50">
        <f t="shared" si="5"/>
        <v>0.8</v>
      </c>
      <c r="H52" s="65">
        <v>1000</v>
      </c>
      <c r="I52" s="65">
        <v>1000</v>
      </c>
      <c r="J52" s="129">
        <f t="shared" si="6"/>
        <v>1</v>
      </c>
      <c r="K52" s="106">
        <f t="shared" si="2"/>
        <v>1000</v>
      </c>
      <c r="L52" s="31">
        <f>SUM(M52:Q52)</f>
        <v>1000</v>
      </c>
      <c r="M52" s="31"/>
      <c r="N52" s="31"/>
      <c r="O52" s="31"/>
      <c r="P52" s="82">
        <v>1000</v>
      </c>
      <c r="Q52" s="31"/>
      <c r="R52" s="31"/>
      <c r="S52" s="31">
        <f>SUM(T52:AC52)</f>
        <v>0</v>
      </c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s="2" customFormat="1" ht="22.5" x14ac:dyDescent="0.2">
      <c r="A53" s="128"/>
      <c r="B53" s="128"/>
      <c r="C53" s="154" t="s">
        <v>96</v>
      </c>
      <c r="D53" s="137" t="s">
        <v>97</v>
      </c>
      <c r="E53" s="62">
        <v>0</v>
      </c>
      <c r="F53" s="65">
        <v>23.2</v>
      </c>
      <c r="G53" s="50">
        <v>0</v>
      </c>
      <c r="H53" s="65">
        <v>23.2</v>
      </c>
      <c r="I53" s="65">
        <v>0</v>
      </c>
      <c r="J53" s="129">
        <v>0</v>
      </c>
      <c r="K53" s="106">
        <f t="shared" si="2"/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s="74" customFormat="1" ht="22.5" x14ac:dyDescent="0.2">
      <c r="A54" s="128"/>
      <c r="B54" s="128"/>
      <c r="C54" s="154" t="s">
        <v>278</v>
      </c>
      <c r="D54" s="137" t="s">
        <v>282</v>
      </c>
      <c r="E54" s="62">
        <v>0</v>
      </c>
      <c r="F54" s="65">
        <v>3984</v>
      </c>
      <c r="G54" s="50">
        <v>0</v>
      </c>
      <c r="H54" s="65">
        <v>3984</v>
      </c>
      <c r="I54" s="65">
        <v>0</v>
      </c>
      <c r="J54" s="129">
        <v>0</v>
      </c>
      <c r="K54" s="106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x14ac:dyDescent="0.2">
      <c r="A55" s="128"/>
      <c r="B55" s="128"/>
      <c r="C55" s="128" t="s">
        <v>56</v>
      </c>
      <c r="D55" s="137" t="s">
        <v>57</v>
      </c>
      <c r="E55" s="62">
        <v>700</v>
      </c>
      <c r="F55" s="65">
        <v>585.97</v>
      </c>
      <c r="G55" s="50">
        <f t="shared" si="5"/>
        <v>0.83710000000000007</v>
      </c>
      <c r="H55" s="65">
        <v>700</v>
      </c>
      <c r="I55" s="65">
        <v>700</v>
      </c>
      <c r="J55" s="129">
        <f t="shared" si="6"/>
        <v>1</v>
      </c>
      <c r="K55" s="106">
        <f t="shared" si="2"/>
        <v>700</v>
      </c>
      <c r="L55" s="32">
        <f>SUM(M55:Q55)</f>
        <v>700</v>
      </c>
      <c r="M55" s="32"/>
      <c r="N55" s="32"/>
      <c r="O55" s="32"/>
      <c r="P55" s="86">
        <v>700</v>
      </c>
      <c r="Q55" s="32"/>
      <c r="R55" s="32"/>
      <c r="S55" s="32">
        <f>SUM(T55:AC55)</f>
        <v>0</v>
      </c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74" customFormat="1" x14ac:dyDescent="0.2">
      <c r="A56" s="128"/>
      <c r="B56" s="155" t="s">
        <v>302</v>
      </c>
      <c r="C56" s="155"/>
      <c r="D56" s="157" t="s">
        <v>314</v>
      </c>
      <c r="E56" s="158">
        <f>E57</f>
        <v>25056</v>
      </c>
      <c r="F56" s="158">
        <f t="shared" ref="F56:J56" si="24">F57</f>
        <v>25056</v>
      </c>
      <c r="G56" s="159">
        <f>F56/E56</f>
        <v>1</v>
      </c>
      <c r="H56" s="158">
        <f t="shared" si="24"/>
        <v>25056</v>
      </c>
      <c r="I56" s="158">
        <f t="shared" si="24"/>
        <v>0</v>
      </c>
      <c r="J56" s="159">
        <f t="shared" si="24"/>
        <v>0</v>
      </c>
      <c r="K56" s="106"/>
      <c r="L56" s="32"/>
      <c r="M56" s="32"/>
      <c r="N56" s="32"/>
      <c r="O56" s="32"/>
      <c r="P56" s="86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74" customFormat="1" ht="56.25" x14ac:dyDescent="0.2">
      <c r="A57" s="128"/>
      <c r="B57" s="128"/>
      <c r="C57" s="128" t="s">
        <v>16</v>
      </c>
      <c r="D57" s="137" t="s">
        <v>17</v>
      </c>
      <c r="E57" s="62">
        <v>25056</v>
      </c>
      <c r="F57" s="65">
        <v>25056</v>
      </c>
      <c r="G57" s="50">
        <f>F57/E57</f>
        <v>1</v>
      </c>
      <c r="H57" s="65">
        <v>25056</v>
      </c>
      <c r="I57" s="65">
        <v>0</v>
      </c>
      <c r="J57" s="129">
        <v>0</v>
      </c>
      <c r="K57" s="106"/>
      <c r="L57" s="32"/>
      <c r="M57" s="32"/>
      <c r="N57" s="32"/>
      <c r="O57" s="32"/>
      <c r="P57" s="86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2" customFormat="1" ht="22.5" x14ac:dyDescent="0.2">
      <c r="A58" s="128"/>
      <c r="B58" s="155" t="s">
        <v>220</v>
      </c>
      <c r="C58" s="155"/>
      <c r="D58" s="157" t="s">
        <v>279</v>
      </c>
      <c r="E58" s="158">
        <f>E59</f>
        <v>8707.7800000000007</v>
      </c>
      <c r="F58" s="158">
        <f t="shared" ref="F58:I58" si="25">F59</f>
        <v>14100.71</v>
      </c>
      <c r="G58" s="158">
        <v>0</v>
      </c>
      <c r="H58" s="158">
        <f t="shared" si="25"/>
        <v>14100.71</v>
      </c>
      <c r="I58" s="158">
        <f t="shared" si="25"/>
        <v>0</v>
      </c>
      <c r="J58" s="160">
        <v>0</v>
      </c>
      <c r="K58" s="114"/>
      <c r="L58" s="53">
        <f>L59</f>
        <v>0</v>
      </c>
      <c r="M58" s="53">
        <f t="shared" ref="M58:AC58" si="26">M59</f>
        <v>0</v>
      </c>
      <c r="N58" s="53">
        <f t="shared" si="26"/>
        <v>0</v>
      </c>
      <c r="O58" s="53">
        <f t="shared" si="26"/>
        <v>0</v>
      </c>
      <c r="P58" s="53">
        <f t="shared" si="26"/>
        <v>0</v>
      </c>
      <c r="Q58" s="53">
        <f t="shared" si="26"/>
        <v>0</v>
      </c>
      <c r="R58" s="53">
        <f t="shared" si="26"/>
        <v>0</v>
      </c>
      <c r="S58" s="53">
        <f t="shared" si="26"/>
        <v>0</v>
      </c>
      <c r="T58" s="53">
        <f t="shared" si="26"/>
        <v>0</v>
      </c>
      <c r="U58" s="53">
        <f t="shared" si="26"/>
        <v>0</v>
      </c>
      <c r="V58" s="53">
        <f t="shared" si="26"/>
        <v>0</v>
      </c>
      <c r="W58" s="53">
        <f t="shared" si="26"/>
        <v>0</v>
      </c>
      <c r="X58" s="53">
        <f t="shared" si="26"/>
        <v>0</v>
      </c>
      <c r="Y58" s="53">
        <f t="shared" si="26"/>
        <v>0</v>
      </c>
      <c r="Z58" s="53">
        <f t="shared" si="26"/>
        <v>0</v>
      </c>
      <c r="AA58" s="53">
        <f t="shared" si="26"/>
        <v>0</v>
      </c>
      <c r="AB58" s="53">
        <f t="shared" si="26"/>
        <v>0</v>
      </c>
      <c r="AC58" s="53">
        <f t="shared" si="26"/>
        <v>0</v>
      </c>
    </row>
    <row r="59" spans="1:29" s="2" customFormat="1" x14ac:dyDescent="0.2">
      <c r="A59" s="128"/>
      <c r="B59" s="128"/>
      <c r="C59" s="154" t="s">
        <v>281</v>
      </c>
      <c r="D59" s="137" t="s">
        <v>280</v>
      </c>
      <c r="E59" s="62">
        <v>8707.7800000000007</v>
      </c>
      <c r="F59" s="65">
        <v>14100.71</v>
      </c>
      <c r="G59" s="50">
        <f>F59/E59</f>
        <v>1.6193231799609082</v>
      </c>
      <c r="H59" s="65">
        <v>14100.71</v>
      </c>
      <c r="I59" s="65">
        <v>0</v>
      </c>
      <c r="J59" s="129">
        <v>0</v>
      </c>
      <c r="K59" s="106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33.75" x14ac:dyDescent="0.2">
      <c r="A60" s="148" t="s">
        <v>58</v>
      </c>
      <c r="B60" s="148"/>
      <c r="C60" s="148"/>
      <c r="D60" s="145" t="s">
        <v>59</v>
      </c>
      <c r="E60" s="149">
        <f>E61+E63</f>
        <v>151026</v>
      </c>
      <c r="F60" s="149">
        <f t="shared" ref="F60:I60" si="27">F61+F63</f>
        <v>150150</v>
      </c>
      <c r="G60" s="150">
        <f>F60/E60</f>
        <v>0.9941996742282786</v>
      </c>
      <c r="H60" s="149">
        <f t="shared" si="27"/>
        <v>151026</v>
      </c>
      <c r="I60" s="149">
        <f t="shared" si="27"/>
        <v>3468</v>
      </c>
      <c r="J60" s="150">
        <f>I60/E60</f>
        <v>2.2962933534623177E-2</v>
      </c>
      <c r="K60" s="115">
        <f t="shared" si="2"/>
        <v>3507</v>
      </c>
      <c r="L60" s="48">
        <f t="shared" ref="L60:AC60" si="28">L61+L63</f>
        <v>3507</v>
      </c>
      <c r="M60" s="47">
        <f t="shared" si="28"/>
        <v>3507</v>
      </c>
      <c r="N60" s="47">
        <f t="shared" si="28"/>
        <v>0</v>
      </c>
      <c r="O60" s="47">
        <f t="shared" si="28"/>
        <v>0</v>
      </c>
      <c r="P60" s="47">
        <f t="shared" si="28"/>
        <v>0</v>
      </c>
      <c r="Q60" s="47">
        <f t="shared" si="28"/>
        <v>0</v>
      </c>
      <c r="R60" s="47">
        <f t="shared" si="28"/>
        <v>0</v>
      </c>
      <c r="S60" s="47">
        <f t="shared" si="28"/>
        <v>0</v>
      </c>
      <c r="T60" s="47">
        <f t="shared" si="28"/>
        <v>0</v>
      </c>
      <c r="U60" s="47">
        <f t="shared" si="28"/>
        <v>0</v>
      </c>
      <c r="V60" s="47">
        <f t="shared" si="28"/>
        <v>0</v>
      </c>
      <c r="W60" s="47">
        <f t="shared" si="28"/>
        <v>0</v>
      </c>
      <c r="X60" s="47">
        <f t="shared" si="28"/>
        <v>0</v>
      </c>
      <c r="Y60" s="47">
        <f t="shared" si="28"/>
        <v>0</v>
      </c>
      <c r="Z60" s="47">
        <f t="shared" si="28"/>
        <v>0</v>
      </c>
      <c r="AA60" s="47">
        <f t="shared" si="28"/>
        <v>0</v>
      </c>
      <c r="AB60" s="47">
        <f t="shared" si="28"/>
        <v>0</v>
      </c>
      <c r="AC60" s="49">
        <f t="shared" si="28"/>
        <v>0</v>
      </c>
    </row>
    <row r="61" spans="1:29" ht="22.5" x14ac:dyDescent="0.2">
      <c r="A61" s="127"/>
      <c r="B61" s="155" t="s">
        <v>60</v>
      </c>
      <c r="C61" s="156"/>
      <c r="D61" s="157" t="s">
        <v>61</v>
      </c>
      <c r="E61" s="158">
        <f>E62</f>
        <v>3507</v>
      </c>
      <c r="F61" s="158">
        <f t="shared" ref="F61:AC61" si="29">F62</f>
        <v>2631</v>
      </c>
      <c r="G61" s="159">
        <f t="shared" si="5"/>
        <v>0.7502138579982891</v>
      </c>
      <c r="H61" s="158">
        <f t="shared" si="29"/>
        <v>3507</v>
      </c>
      <c r="I61" s="158">
        <f t="shared" si="29"/>
        <v>3468</v>
      </c>
      <c r="J61" s="160">
        <f t="shared" si="6"/>
        <v>0.98887938408896492</v>
      </c>
      <c r="K61" s="114">
        <f t="shared" si="2"/>
        <v>3507</v>
      </c>
      <c r="L61" s="44">
        <f t="shared" si="29"/>
        <v>3507</v>
      </c>
      <c r="M61" s="8">
        <f t="shared" si="29"/>
        <v>3507</v>
      </c>
      <c r="N61" s="8">
        <f t="shared" si="29"/>
        <v>0</v>
      </c>
      <c r="O61" s="8">
        <f t="shared" si="29"/>
        <v>0</v>
      </c>
      <c r="P61" s="8">
        <f t="shared" si="29"/>
        <v>0</v>
      </c>
      <c r="Q61" s="8">
        <f t="shared" si="29"/>
        <v>0</v>
      </c>
      <c r="R61" s="8">
        <f t="shared" si="29"/>
        <v>0</v>
      </c>
      <c r="S61" s="8">
        <f t="shared" si="29"/>
        <v>0</v>
      </c>
      <c r="T61" s="8">
        <f t="shared" si="29"/>
        <v>0</v>
      </c>
      <c r="U61" s="8">
        <f t="shared" si="29"/>
        <v>0</v>
      </c>
      <c r="V61" s="8">
        <f t="shared" si="29"/>
        <v>0</v>
      </c>
      <c r="W61" s="8">
        <f t="shared" si="29"/>
        <v>0</v>
      </c>
      <c r="X61" s="8">
        <f t="shared" si="29"/>
        <v>0</v>
      </c>
      <c r="Y61" s="8">
        <f t="shared" si="29"/>
        <v>0</v>
      </c>
      <c r="Z61" s="8">
        <f t="shared" si="29"/>
        <v>0</v>
      </c>
      <c r="AA61" s="8">
        <f t="shared" si="29"/>
        <v>0</v>
      </c>
      <c r="AB61" s="8">
        <f t="shared" si="29"/>
        <v>0</v>
      </c>
      <c r="AC61" s="35">
        <f t="shared" si="29"/>
        <v>0</v>
      </c>
    </row>
    <row r="62" spans="1:29" ht="56.25" x14ac:dyDescent="0.2">
      <c r="A62" s="128"/>
      <c r="B62" s="128"/>
      <c r="C62" s="128" t="s">
        <v>16</v>
      </c>
      <c r="D62" s="137" t="s">
        <v>17</v>
      </c>
      <c r="E62" s="62">
        <v>3507</v>
      </c>
      <c r="F62" s="65">
        <v>2631</v>
      </c>
      <c r="G62" s="50">
        <f t="shared" si="5"/>
        <v>0.7502138579982891</v>
      </c>
      <c r="H62" s="65">
        <v>3507</v>
      </c>
      <c r="I62" s="65">
        <v>3468</v>
      </c>
      <c r="J62" s="129">
        <f t="shared" si="6"/>
        <v>0.98887938408896492</v>
      </c>
      <c r="K62" s="39">
        <f t="shared" si="2"/>
        <v>3507</v>
      </c>
      <c r="L62" s="31">
        <f>SUM(M62:Q62)</f>
        <v>3507</v>
      </c>
      <c r="M62" s="82">
        <v>3507</v>
      </c>
      <c r="N62" s="31"/>
      <c r="O62" s="31"/>
      <c r="P62" s="31"/>
      <c r="Q62" s="31"/>
      <c r="R62" s="31"/>
      <c r="S62" s="31">
        <f>SUM(T62:AC62)</f>
        <v>0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5" x14ac:dyDescent="0.2">
      <c r="A63" s="127"/>
      <c r="B63" s="155" t="s">
        <v>303</v>
      </c>
      <c r="C63" s="156"/>
      <c r="D63" s="157" t="s">
        <v>306</v>
      </c>
      <c r="E63" s="158">
        <f>E64</f>
        <v>147519</v>
      </c>
      <c r="F63" s="158">
        <f t="shared" ref="F63:AC63" si="30">F64</f>
        <v>147519</v>
      </c>
      <c r="G63" s="159">
        <f t="shared" si="5"/>
        <v>1</v>
      </c>
      <c r="H63" s="158">
        <f t="shared" si="30"/>
        <v>147519</v>
      </c>
      <c r="I63" s="158">
        <f t="shared" si="30"/>
        <v>0</v>
      </c>
      <c r="J63" s="160">
        <f t="shared" si="6"/>
        <v>0</v>
      </c>
      <c r="K63" s="114">
        <f t="shared" si="2"/>
        <v>0</v>
      </c>
      <c r="L63" s="44">
        <f t="shared" si="30"/>
        <v>0</v>
      </c>
      <c r="M63" s="8">
        <f t="shared" si="30"/>
        <v>0</v>
      </c>
      <c r="N63" s="8">
        <f t="shared" si="30"/>
        <v>0</v>
      </c>
      <c r="O63" s="8">
        <f t="shared" si="30"/>
        <v>0</v>
      </c>
      <c r="P63" s="8">
        <f t="shared" si="30"/>
        <v>0</v>
      </c>
      <c r="Q63" s="8">
        <f t="shared" si="30"/>
        <v>0</v>
      </c>
      <c r="R63" s="8">
        <f t="shared" si="30"/>
        <v>0</v>
      </c>
      <c r="S63" s="8">
        <f t="shared" si="30"/>
        <v>0</v>
      </c>
      <c r="T63" s="8">
        <f t="shared" si="30"/>
        <v>0</v>
      </c>
      <c r="U63" s="8">
        <f t="shared" si="30"/>
        <v>0</v>
      </c>
      <c r="V63" s="8">
        <f t="shared" si="30"/>
        <v>0</v>
      </c>
      <c r="W63" s="8">
        <f t="shared" si="30"/>
        <v>0</v>
      </c>
      <c r="X63" s="8">
        <f t="shared" si="30"/>
        <v>0</v>
      </c>
      <c r="Y63" s="8">
        <f t="shared" si="30"/>
        <v>0</v>
      </c>
      <c r="Z63" s="8">
        <f t="shared" si="30"/>
        <v>0</v>
      </c>
      <c r="AA63" s="8">
        <f t="shared" si="30"/>
        <v>0</v>
      </c>
      <c r="AB63" s="8">
        <f t="shared" si="30"/>
        <v>0</v>
      </c>
      <c r="AC63" s="35">
        <f t="shared" si="30"/>
        <v>0</v>
      </c>
    </row>
    <row r="64" spans="1:29" ht="56.25" x14ac:dyDescent="0.2">
      <c r="A64" s="128"/>
      <c r="B64" s="128"/>
      <c r="C64" s="128" t="s">
        <v>16</v>
      </c>
      <c r="D64" s="137" t="s">
        <v>17</v>
      </c>
      <c r="E64" s="62">
        <v>147519</v>
      </c>
      <c r="F64" s="65">
        <v>147519</v>
      </c>
      <c r="G64" s="50">
        <f t="shared" si="5"/>
        <v>1</v>
      </c>
      <c r="H64" s="65">
        <v>147519</v>
      </c>
      <c r="I64" s="65">
        <v>0</v>
      </c>
      <c r="J64" s="129">
        <f t="shared" si="6"/>
        <v>0</v>
      </c>
      <c r="K64" s="39">
        <f t="shared" si="2"/>
        <v>0</v>
      </c>
      <c r="L64" s="31">
        <f>SUM(M64:Q64)</f>
        <v>0</v>
      </c>
      <c r="M64" s="31"/>
      <c r="N64" s="31"/>
      <c r="O64" s="31"/>
      <c r="P64" s="31">
        <v>0</v>
      </c>
      <c r="Q64" s="31"/>
      <c r="R64" s="31"/>
      <c r="S64" s="31">
        <f>SUM(T64:AC64)</f>
        <v>0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27" customHeight="1" x14ac:dyDescent="0.2">
      <c r="A65" s="148" t="s">
        <v>62</v>
      </c>
      <c r="B65" s="148"/>
      <c r="C65" s="148"/>
      <c r="D65" s="145" t="s">
        <v>63</v>
      </c>
      <c r="E65" s="149">
        <f>E66</f>
        <v>1000</v>
      </c>
      <c r="F65" s="149">
        <f t="shared" ref="F65:I65" si="31">F66</f>
        <v>1065.97</v>
      </c>
      <c r="G65" s="150">
        <f>F65/E65</f>
        <v>1.0659700000000001</v>
      </c>
      <c r="H65" s="149">
        <f t="shared" si="31"/>
        <v>1065.97</v>
      </c>
      <c r="I65" s="149">
        <f t="shared" si="31"/>
        <v>1000</v>
      </c>
      <c r="J65" s="150">
        <f>I65/E65</f>
        <v>1</v>
      </c>
      <c r="K65" s="116">
        <f t="shared" si="2"/>
        <v>1000</v>
      </c>
      <c r="L65" s="41">
        <f t="shared" ref="L65:AC65" si="32">L66</f>
        <v>1000</v>
      </c>
      <c r="M65" s="7">
        <f t="shared" si="32"/>
        <v>0</v>
      </c>
      <c r="N65" s="7">
        <f t="shared" si="32"/>
        <v>0</v>
      </c>
      <c r="O65" s="7">
        <f t="shared" si="32"/>
        <v>0</v>
      </c>
      <c r="P65" s="7">
        <f t="shared" si="32"/>
        <v>1000</v>
      </c>
      <c r="Q65" s="7">
        <f t="shared" si="32"/>
        <v>0</v>
      </c>
      <c r="R65" s="7">
        <f t="shared" si="32"/>
        <v>0</v>
      </c>
      <c r="S65" s="7">
        <f t="shared" si="32"/>
        <v>0</v>
      </c>
      <c r="T65" s="7">
        <f t="shared" si="32"/>
        <v>0</v>
      </c>
      <c r="U65" s="7">
        <f t="shared" si="32"/>
        <v>0</v>
      </c>
      <c r="V65" s="7">
        <f t="shared" si="32"/>
        <v>0</v>
      </c>
      <c r="W65" s="7">
        <f t="shared" si="32"/>
        <v>0</v>
      </c>
      <c r="X65" s="7">
        <f t="shared" si="32"/>
        <v>0</v>
      </c>
      <c r="Y65" s="7">
        <f t="shared" si="32"/>
        <v>0</v>
      </c>
      <c r="Z65" s="7">
        <f t="shared" si="32"/>
        <v>0</v>
      </c>
      <c r="AA65" s="7">
        <f t="shared" si="32"/>
        <v>0</v>
      </c>
      <c r="AB65" s="7">
        <f t="shared" si="32"/>
        <v>0</v>
      </c>
      <c r="AC65" s="34">
        <f t="shared" si="32"/>
        <v>0</v>
      </c>
    </row>
    <row r="66" spans="1:29" ht="15" x14ac:dyDescent="0.2">
      <c r="A66" s="127"/>
      <c r="B66" s="155" t="s">
        <v>64</v>
      </c>
      <c r="C66" s="156"/>
      <c r="D66" s="157" t="s">
        <v>65</v>
      </c>
      <c r="E66" s="158">
        <f>E67+E68</f>
        <v>1000</v>
      </c>
      <c r="F66" s="158">
        <f t="shared" ref="F66:AC66" si="33">F67+F68</f>
        <v>1065.97</v>
      </c>
      <c r="G66" s="159">
        <f t="shared" si="5"/>
        <v>1.0659700000000001</v>
      </c>
      <c r="H66" s="158">
        <f t="shared" si="33"/>
        <v>1065.97</v>
      </c>
      <c r="I66" s="158">
        <f t="shared" si="33"/>
        <v>1000</v>
      </c>
      <c r="J66" s="160">
        <f t="shared" si="6"/>
        <v>1</v>
      </c>
      <c r="K66" s="114">
        <f t="shared" si="2"/>
        <v>1000</v>
      </c>
      <c r="L66" s="44">
        <f t="shared" si="33"/>
        <v>1000</v>
      </c>
      <c r="M66" s="8">
        <f t="shared" si="33"/>
        <v>0</v>
      </c>
      <c r="N66" s="8">
        <f t="shared" si="33"/>
        <v>0</v>
      </c>
      <c r="O66" s="8">
        <f t="shared" si="33"/>
        <v>0</v>
      </c>
      <c r="P66" s="8">
        <f t="shared" si="33"/>
        <v>1000</v>
      </c>
      <c r="Q66" s="8">
        <f t="shared" si="33"/>
        <v>0</v>
      </c>
      <c r="R66" s="8">
        <f t="shared" si="33"/>
        <v>0</v>
      </c>
      <c r="S66" s="8">
        <f t="shared" si="33"/>
        <v>0</v>
      </c>
      <c r="T66" s="8">
        <f t="shared" si="33"/>
        <v>0</v>
      </c>
      <c r="U66" s="8">
        <f t="shared" si="33"/>
        <v>0</v>
      </c>
      <c r="V66" s="8">
        <f t="shared" si="33"/>
        <v>0</v>
      </c>
      <c r="W66" s="8">
        <f t="shared" si="33"/>
        <v>0</v>
      </c>
      <c r="X66" s="8">
        <f t="shared" si="33"/>
        <v>0</v>
      </c>
      <c r="Y66" s="8">
        <f t="shared" si="33"/>
        <v>0</v>
      </c>
      <c r="Z66" s="8">
        <f t="shared" si="33"/>
        <v>0</v>
      </c>
      <c r="AA66" s="8">
        <f t="shared" si="33"/>
        <v>0</v>
      </c>
      <c r="AB66" s="8">
        <f t="shared" si="33"/>
        <v>0</v>
      </c>
      <c r="AC66" s="35">
        <f t="shared" si="33"/>
        <v>0</v>
      </c>
    </row>
    <row r="67" spans="1:29" x14ac:dyDescent="0.2">
      <c r="A67" s="128"/>
      <c r="B67" s="128"/>
      <c r="C67" s="128" t="s">
        <v>66</v>
      </c>
      <c r="D67" s="137" t="s">
        <v>67</v>
      </c>
      <c r="E67" s="62">
        <v>1000</v>
      </c>
      <c r="F67" s="65">
        <v>1015.97</v>
      </c>
      <c r="G67" s="50">
        <f t="shared" si="5"/>
        <v>1.01597</v>
      </c>
      <c r="H67" s="65">
        <v>1015.97</v>
      </c>
      <c r="I67" s="65">
        <v>1000</v>
      </c>
      <c r="J67" s="129">
        <f t="shared" si="6"/>
        <v>1</v>
      </c>
      <c r="K67" s="39">
        <f t="shared" si="2"/>
        <v>1000</v>
      </c>
      <c r="L67" s="31">
        <f>SUM(M67:Q67)</f>
        <v>1000</v>
      </c>
      <c r="M67" s="31"/>
      <c r="N67" s="31"/>
      <c r="O67" s="31"/>
      <c r="P67" s="82">
        <v>1000</v>
      </c>
      <c r="Q67" s="31"/>
      <c r="R67" s="31"/>
      <c r="S67" s="31">
        <f>SUM(T67:AC67)</f>
        <v>0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67.5" x14ac:dyDescent="0.2">
      <c r="A68" s="128"/>
      <c r="B68" s="128"/>
      <c r="C68" s="128" t="s">
        <v>158</v>
      </c>
      <c r="D68" s="137" t="s">
        <v>159</v>
      </c>
      <c r="E68" s="62">
        <v>0</v>
      </c>
      <c r="F68" s="65">
        <v>50</v>
      </c>
      <c r="G68" s="50">
        <v>0</v>
      </c>
      <c r="H68" s="65">
        <v>50</v>
      </c>
      <c r="I68" s="65">
        <v>0</v>
      </c>
      <c r="J68" s="129">
        <v>0</v>
      </c>
      <c r="K68" s="106">
        <f t="shared" si="2"/>
        <v>0</v>
      </c>
      <c r="L68" s="31">
        <f>SUM(M68:Q68)</f>
        <v>0</v>
      </c>
      <c r="M68" s="31"/>
      <c r="N68" s="31"/>
      <c r="O68" s="31"/>
      <c r="P68" s="31">
        <v>0</v>
      </c>
      <c r="Q68" s="31"/>
      <c r="R68" s="31"/>
      <c r="S68" s="31">
        <f>SUM(T68:AC68)</f>
        <v>0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58.5" customHeight="1" x14ac:dyDescent="0.2">
      <c r="A69" s="148" t="s">
        <v>68</v>
      </c>
      <c r="B69" s="148"/>
      <c r="C69" s="148"/>
      <c r="D69" s="145" t="s">
        <v>69</v>
      </c>
      <c r="E69" s="149">
        <f>E70+E73+E82+E93+E96</f>
        <v>28627337</v>
      </c>
      <c r="F69" s="149">
        <f>F70+F73+F82+F93+F96</f>
        <v>20047510.410000004</v>
      </c>
      <c r="G69" s="150">
        <f t="shared" si="5"/>
        <v>0.70029253541815661</v>
      </c>
      <c r="H69" s="149">
        <f>H70+H73+H82+H93+H96</f>
        <v>26616706.339999996</v>
      </c>
      <c r="I69" s="149">
        <f>I70+I73+I82+I93+I96</f>
        <v>28860831</v>
      </c>
      <c r="J69" s="151">
        <f>I69/E69</f>
        <v>1.0081563297347567</v>
      </c>
      <c r="K69" s="40" t="e">
        <f t="shared" si="2"/>
        <v>#REF!</v>
      </c>
      <c r="L69" s="7" t="e">
        <f t="shared" ref="L69:AC69" si="34">L70+L73+L82+L93+L96</f>
        <v>#REF!</v>
      </c>
      <c r="M69" s="7" t="e">
        <f t="shared" si="34"/>
        <v>#REF!</v>
      </c>
      <c r="N69" s="7" t="e">
        <f t="shared" si="34"/>
        <v>#REF!</v>
      </c>
      <c r="O69" s="7" t="e">
        <f t="shared" si="34"/>
        <v>#REF!</v>
      </c>
      <c r="P69" s="7" t="e">
        <f t="shared" si="34"/>
        <v>#REF!</v>
      </c>
      <c r="Q69" s="7" t="e">
        <f t="shared" si="34"/>
        <v>#REF!</v>
      </c>
      <c r="R69" s="7" t="e">
        <f t="shared" si="34"/>
        <v>#REF!</v>
      </c>
      <c r="S69" s="7" t="e">
        <f t="shared" si="34"/>
        <v>#REF!</v>
      </c>
      <c r="T69" s="7" t="e">
        <f t="shared" si="34"/>
        <v>#REF!</v>
      </c>
      <c r="U69" s="7" t="e">
        <f t="shared" si="34"/>
        <v>#REF!</v>
      </c>
      <c r="V69" s="7" t="e">
        <f t="shared" si="34"/>
        <v>#REF!</v>
      </c>
      <c r="W69" s="7" t="e">
        <f t="shared" si="34"/>
        <v>#REF!</v>
      </c>
      <c r="X69" s="7" t="e">
        <f t="shared" si="34"/>
        <v>#REF!</v>
      </c>
      <c r="Y69" s="7" t="e">
        <f t="shared" si="34"/>
        <v>#REF!</v>
      </c>
      <c r="Z69" s="7" t="e">
        <f t="shared" si="34"/>
        <v>#REF!</v>
      </c>
      <c r="AA69" s="7" t="e">
        <f t="shared" si="34"/>
        <v>#REF!</v>
      </c>
      <c r="AB69" s="7" t="e">
        <f t="shared" si="34"/>
        <v>#REF!</v>
      </c>
      <c r="AC69" s="34" t="e">
        <f t="shared" si="34"/>
        <v>#REF!</v>
      </c>
    </row>
    <row r="70" spans="1:29" ht="22.5" x14ac:dyDescent="0.2">
      <c r="A70" s="127"/>
      <c r="B70" s="155" t="s">
        <v>70</v>
      </c>
      <c r="C70" s="156"/>
      <c r="D70" s="157" t="s">
        <v>71</v>
      </c>
      <c r="E70" s="158">
        <f>E71+E72</f>
        <v>60000</v>
      </c>
      <c r="F70" s="158">
        <f>F71+F72</f>
        <v>54961.439999999995</v>
      </c>
      <c r="G70" s="159">
        <f t="shared" si="5"/>
        <v>0.91602399999999995</v>
      </c>
      <c r="H70" s="158">
        <f>H71+H72</f>
        <v>60116.99</v>
      </c>
      <c r="I70" s="158">
        <f>I71+I72</f>
        <v>60000</v>
      </c>
      <c r="J70" s="160">
        <f t="shared" si="6"/>
        <v>1</v>
      </c>
      <c r="K70" s="114">
        <f t="shared" si="2"/>
        <v>60000</v>
      </c>
      <c r="L70" s="44">
        <f>L71+L72</f>
        <v>60000</v>
      </c>
      <c r="M70" s="44">
        <f t="shared" ref="M70:AB70" si="35">M71+M72</f>
        <v>0</v>
      </c>
      <c r="N70" s="44">
        <f t="shared" si="35"/>
        <v>0</v>
      </c>
      <c r="O70" s="44">
        <f t="shared" si="35"/>
        <v>0</v>
      </c>
      <c r="P70" s="44">
        <f t="shared" si="35"/>
        <v>60000</v>
      </c>
      <c r="Q70" s="44">
        <f t="shared" si="35"/>
        <v>0</v>
      </c>
      <c r="R70" s="44">
        <f t="shared" si="35"/>
        <v>0</v>
      </c>
      <c r="S70" s="44">
        <f t="shared" si="35"/>
        <v>0</v>
      </c>
      <c r="T70" s="44">
        <f t="shared" si="35"/>
        <v>0</v>
      </c>
      <c r="U70" s="44">
        <f t="shared" si="35"/>
        <v>0</v>
      </c>
      <c r="V70" s="44">
        <f t="shared" si="35"/>
        <v>0</v>
      </c>
      <c r="W70" s="44">
        <f t="shared" si="35"/>
        <v>0</v>
      </c>
      <c r="X70" s="44">
        <f t="shared" si="35"/>
        <v>0</v>
      </c>
      <c r="Y70" s="44">
        <f t="shared" si="35"/>
        <v>0</v>
      </c>
      <c r="Z70" s="44">
        <f t="shared" si="35"/>
        <v>0</v>
      </c>
      <c r="AA70" s="44">
        <f t="shared" si="35"/>
        <v>0</v>
      </c>
      <c r="AB70" s="44">
        <f t="shared" si="35"/>
        <v>0</v>
      </c>
      <c r="AC70" s="35">
        <f t="shared" ref="AC70" si="36">AC71</f>
        <v>0</v>
      </c>
    </row>
    <row r="71" spans="1:29" ht="33.75" x14ac:dyDescent="0.2">
      <c r="A71" s="128"/>
      <c r="B71" s="128"/>
      <c r="C71" s="128" t="s">
        <v>72</v>
      </c>
      <c r="D71" s="137" t="s">
        <v>73</v>
      </c>
      <c r="E71" s="62">
        <v>60000</v>
      </c>
      <c r="F71" s="65">
        <v>54844.45</v>
      </c>
      <c r="G71" s="50">
        <f t="shared" si="5"/>
        <v>0.91407416666666663</v>
      </c>
      <c r="H71" s="65">
        <v>60000</v>
      </c>
      <c r="I71" s="65">
        <v>60000</v>
      </c>
      <c r="J71" s="129">
        <f t="shared" si="6"/>
        <v>1</v>
      </c>
      <c r="K71" s="39">
        <f t="shared" si="2"/>
        <v>60000</v>
      </c>
      <c r="L71" s="32">
        <f>SUM(M71:Q71)</f>
        <v>60000</v>
      </c>
      <c r="M71" s="32"/>
      <c r="N71" s="32"/>
      <c r="O71" s="32"/>
      <c r="P71" s="86">
        <v>60000</v>
      </c>
      <c r="Q71" s="32"/>
      <c r="R71" s="32"/>
      <c r="S71" s="32">
        <f>SUM(T71:AC71)</f>
        <v>0</v>
      </c>
      <c r="T71" s="32"/>
      <c r="U71" s="32"/>
      <c r="V71" s="32"/>
      <c r="W71" s="32"/>
      <c r="X71" s="9"/>
      <c r="Y71" s="9"/>
      <c r="Z71" s="9"/>
      <c r="AA71" s="9"/>
      <c r="AB71" s="9"/>
      <c r="AC71" s="9"/>
    </row>
    <row r="72" spans="1:29" s="2" customFormat="1" ht="22.5" x14ac:dyDescent="0.2">
      <c r="A72" s="128"/>
      <c r="B72" s="128"/>
      <c r="C72" s="154" t="s">
        <v>86</v>
      </c>
      <c r="D72" s="137" t="s">
        <v>87</v>
      </c>
      <c r="E72" s="62">
        <v>0</v>
      </c>
      <c r="F72" s="65">
        <v>116.99</v>
      </c>
      <c r="G72" s="50">
        <v>0</v>
      </c>
      <c r="H72" s="65">
        <v>116.99</v>
      </c>
      <c r="I72" s="65">
        <v>0</v>
      </c>
      <c r="J72" s="129">
        <v>0</v>
      </c>
      <c r="K72" s="106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5"/>
      <c r="Y72" s="5"/>
      <c r="Z72" s="5"/>
      <c r="AA72" s="5"/>
      <c r="AB72" s="5"/>
      <c r="AC72" s="5"/>
    </row>
    <row r="73" spans="1:29" ht="56.25" x14ac:dyDescent="0.2">
      <c r="A73" s="127"/>
      <c r="B73" s="155" t="s">
        <v>74</v>
      </c>
      <c r="C73" s="156"/>
      <c r="D73" s="157" t="s">
        <v>75</v>
      </c>
      <c r="E73" s="158">
        <f>E74+E75+E76+E77+E78+E80+E81+E79</f>
        <v>7367364</v>
      </c>
      <c r="F73" s="158">
        <f>F74+F75+F76+F77+F78+F80+F81+F79</f>
        <v>5238878.54</v>
      </c>
      <c r="G73" s="159">
        <f t="shared" si="5"/>
        <v>0.71109267032279122</v>
      </c>
      <c r="H73" s="158">
        <f>H74+H75+H76+H77+H78+H80+H81+H79</f>
        <v>6949131.1699999999</v>
      </c>
      <c r="I73" s="158">
        <f>I74+I75+I76+I77+I78+I80+I81+I79</f>
        <v>7362907</v>
      </c>
      <c r="J73" s="160">
        <f t="shared" si="6"/>
        <v>0.99939503464196966</v>
      </c>
      <c r="K73" s="117">
        <f t="shared" si="2"/>
        <v>7367364</v>
      </c>
      <c r="L73" s="88">
        <f>L74+L75+L76+L77+L78+L80+L81+L79</f>
        <v>7367364</v>
      </c>
      <c r="M73" s="88">
        <f t="shared" ref="M73:AC73" si="37">M74+M75+M76+M77+M78+M80+M81+M79</f>
        <v>0</v>
      </c>
      <c r="N73" s="88">
        <f t="shared" si="37"/>
        <v>0</v>
      </c>
      <c r="O73" s="88">
        <f t="shared" si="37"/>
        <v>0</v>
      </c>
      <c r="P73" s="88">
        <f t="shared" si="37"/>
        <v>7367364</v>
      </c>
      <c r="Q73" s="88">
        <f t="shared" si="37"/>
        <v>0</v>
      </c>
      <c r="R73" s="88">
        <f t="shared" si="37"/>
        <v>0</v>
      </c>
      <c r="S73" s="88">
        <f t="shared" si="37"/>
        <v>0</v>
      </c>
      <c r="T73" s="88">
        <f t="shared" si="37"/>
        <v>0</v>
      </c>
      <c r="U73" s="88">
        <f t="shared" si="37"/>
        <v>0</v>
      </c>
      <c r="V73" s="88">
        <f t="shared" si="37"/>
        <v>0</v>
      </c>
      <c r="W73" s="88">
        <f t="shared" si="37"/>
        <v>0</v>
      </c>
      <c r="X73" s="88">
        <f t="shared" si="37"/>
        <v>0</v>
      </c>
      <c r="Y73" s="88">
        <f t="shared" si="37"/>
        <v>0</v>
      </c>
      <c r="Z73" s="88">
        <f t="shared" si="37"/>
        <v>0</v>
      </c>
      <c r="AA73" s="88">
        <f t="shared" si="37"/>
        <v>0</v>
      </c>
      <c r="AB73" s="88">
        <f t="shared" si="37"/>
        <v>0</v>
      </c>
      <c r="AC73" s="88">
        <f t="shared" si="37"/>
        <v>0</v>
      </c>
    </row>
    <row r="74" spans="1:29" x14ac:dyDescent="0.2">
      <c r="A74" s="128"/>
      <c r="B74" s="128"/>
      <c r="C74" s="128" t="s">
        <v>76</v>
      </c>
      <c r="D74" s="137" t="s">
        <v>77</v>
      </c>
      <c r="E74" s="62">
        <v>7000000</v>
      </c>
      <c r="F74" s="65">
        <v>4946118.62</v>
      </c>
      <c r="G74" s="50">
        <f t="shared" si="5"/>
        <v>0.7065883742857143</v>
      </c>
      <c r="H74" s="65">
        <v>6594824.8300000001</v>
      </c>
      <c r="I74" s="65">
        <v>7000000</v>
      </c>
      <c r="J74" s="129">
        <f t="shared" si="6"/>
        <v>1</v>
      </c>
      <c r="K74" s="106">
        <f t="shared" si="2"/>
        <v>7000000</v>
      </c>
      <c r="L74" s="31">
        <v>7000000</v>
      </c>
      <c r="M74" s="5"/>
      <c r="N74" s="5"/>
      <c r="O74" s="5"/>
      <c r="P74" s="82">
        <v>7000000</v>
      </c>
      <c r="Q74" s="5"/>
      <c r="R74" s="5"/>
      <c r="S74" s="31">
        <f>SUM(T74:AC74)</f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">
      <c r="A75" s="128"/>
      <c r="B75" s="128"/>
      <c r="C75" s="128" t="s">
        <v>78</v>
      </c>
      <c r="D75" s="137" t="s">
        <v>79</v>
      </c>
      <c r="E75" s="62">
        <v>86200</v>
      </c>
      <c r="F75" s="65">
        <v>58668</v>
      </c>
      <c r="G75" s="50">
        <f t="shared" si="5"/>
        <v>0.68060324825986074</v>
      </c>
      <c r="H75" s="65">
        <v>78224</v>
      </c>
      <c r="I75" s="65">
        <v>90148</v>
      </c>
      <c r="J75" s="129">
        <f t="shared" si="6"/>
        <v>1.045800464037123</v>
      </c>
      <c r="K75" s="106">
        <f t="shared" si="2"/>
        <v>86200</v>
      </c>
      <c r="L75" s="31">
        <f t="shared" ref="L75:L81" si="38">SUM(M75:Q75)</f>
        <v>86200</v>
      </c>
      <c r="M75" s="5"/>
      <c r="N75" s="5"/>
      <c r="O75" s="5"/>
      <c r="P75" s="82">
        <v>86200</v>
      </c>
      <c r="Q75" s="5"/>
      <c r="R75" s="5"/>
      <c r="S75" s="31">
        <f t="shared" ref="S75:S81" si="39">SUM(T75:AC75)</f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">
      <c r="A76" s="128"/>
      <c r="B76" s="128"/>
      <c r="C76" s="128" t="s">
        <v>80</v>
      </c>
      <c r="D76" s="137" t="s">
        <v>81</v>
      </c>
      <c r="E76" s="62">
        <v>159800</v>
      </c>
      <c r="F76" s="65">
        <v>122387</v>
      </c>
      <c r="G76" s="50">
        <f t="shared" si="5"/>
        <v>0.76587609511889865</v>
      </c>
      <c r="H76" s="65">
        <v>163182</v>
      </c>
      <c r="I76" s="65">
        <v>164939</v>
      </c>
      <c r="J76" s="129">
        <f t="shared" si="6"/>
        <v>1.0321589486858573</v>
      </c>
      <c r="K76" s="106">
        <f t="shared" si="2"/>
        <v>159800</v>
      </c>
      <c r="L76" s="31">
        <v>159800</v>
      </c>
      <c r="M76" s="5"/>
      <c r="N76" s="5"/>
      <c r="O76" s="5"/>
      <c r="P76" s="82">
        <v>159800</v>
      </c>
      <c r="Q76" s="5"/>
      <c r="R76" s="5"/>
      <c r="S76" s="31">
        <f t="shared" si="39"/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22.5" x14ac:dyDescent="0.2">
      <c r="A77" s="128"/>
      <c r="B77" s="128"/>
      <c r="C77" s="128" t="s">
        <v>82</v>
      </c>
      <c r="D77" s="137" t="s">
        <v>83</v>
      </c>
      <c r="E77" s="62">
        <v>79400</v>
      </c>
      <c r="F77" s="65">
        <v>84569.25</v>
      </c>
      <c r="G77" s="50">
        <f t="shared" si="5"/>
        <v>1.0651039042821158</v>
      </c>
      <c r="H77" s="65">
        <v>84569.25</v>
      </c>
      <c r="I77" s="65">
        <v>79400</v>
      </c>
      <c r="J77" s="129">
        <f t="shared" si="6"/>
        <v>1</v>
      </c>
      <c r="K77" s="106">
        <f t="shared" si="2"/>
        <v>79400</v>
      </c>
      <c r="L77" s="31">
        <f t="shared" si="38"/>
        <v>79400</v>
      </c>
      <c r="M77" s="5"/>
      <c r="N77" s="5"/>
      <c r="O77" s="5"/>
      <c r="P77" s="82">
        <v>79400</v>
      </c>
      <c r="Q77" s="5"/>
      <c r="R77" s="5"/>
      <c r="S77" s="31">
        <f t="shared" si="39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22.5" x14ac:dyDescent="0.2">
      <c r="A78" s="128"/>
      <c r="B78" s="128"/>
      <c r="C78" s="128" t="s">
        <v>84</v>
      </c>
      <c r="D78" s="137" t="s">
        <v>85</v>
      </c>
      <c r="E78" s="62">
        <v>20000</v>
      </c>
      <c r="F78" s="65">
        <v>21514</v>
      </c>
      <c r="G78" s="50">
        <f t="shared" si="5"/>
        <v>1.0757000000000001</v>
      </c>
      <c r="H78" s="65">
        <v>21514</v>
      </c>
      <c r="I78" s="65">
        <v>21500</v>
      </c>
      <c r="J78" s="129">
        <f t="shared" si="6"/>
        <v>1.075</v>
      </c>
      <c r="K78" s="106">
        <f t="shared" si="2"/>
        <v>20000</v>
      </c>
      <c r="L78" s="31">
        <f t="shared" si="38"/>
        <v>20000</v>
      </c>
      <c r="M78" s="5"/>
      <c r="N78" s="5"/>
      <c r="O78" s="5"/>
      <c r="P78" s="82">
        <v>20000</v>
      </c>
      <c r="Q78" s="5"/>
      <c r="R78" s="5"/>
      <c r="S78" s="31">
        <f t="shared" si="39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2" customFormat="1" ht="22.5" x14ac:dyDescent="0.2">
      <c r="A79" s="128"/>
      <c r="B79" s="128"/>
      <c r="C79" s="154" t="s">
        <v>96</v>
      </c>
      <c r="D79" s="137" t="s">
        <v>97</v>
      </c>
      <c r="E79" s="62">
        <v>0</v>
      </c>
      <c r="F79" s="65">
        <v>185.6</v>
      </c>
      <c r="G79" s="50">
        <v>0</v>
      </c>
      <c r="H79" s="65">
        <v>185</v>
      </c>
      <c r="I79" s="65">
        <v>0</v>
      </c>
      <c r="J79" s="129">
        <v>0</v>
      </c>
      <c r="K79" s="106"/>
      <c r="L79" s="31"/>
      <c r="M79" s="5"/>
      <c r="N79" s="5"/>
      <c r="O79" s="5"/>
      <c r="P79" s="31"/>
      <c r="Q79" s="5"/>
      <c r="R79" s="5"/>
      <c r="S79" s="31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x14ac:dyDescent="0.2">
      <c r="A80" s="128"/>
      <c r="B80" s="128"/>
      <c r="C80" s="128" t="s">
        <v>86</v>
      </c>
      <c r="D80" s="137" t="s">
        <v>87</v>
      </c>
      <c r="E80" s="62">
        <v>20000</v>
      </c>
      <c r="F80" s="65">
        <v>3501.07</v>
      </c>
      <c r="G80" s="50">
        <f t="shared" si="5"/>
        <v>0.1750535</v>
      </c>
      <c r="H80" s="65">
        <v>4668.09</v>
      </c>
      <c r="I80" s="65">
        <v>5000</v>
      </c>
      <c r="J80" s="129">
        <f t="shared" si="6"/>
        <v>0.25</v>
      </c>
      <c r="K80" s="106">
        <f t="shared" si="2"/>
        <v>20000</v>
      </c>
      <c r="L80" s="31">
        <f t="shared" si="38"/>
        <v>20000</v>
      </c>
      <c r="M80" s="5"/>
      <c r="N80" s="5"/>
      <c r="O80" s="5"/>
      <c r="P80" s="82">
        <v>20000</v>
      </c>
      <c r="Q80" s="5"/>
      <c r="R80" s="5"/>
      <c r="S80" s="31">
        <f t="shared" si="39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22.5" x14ac:dyDescent="0.2">
      <c r="A81" s="128"/>
      <c r="B81" s="128"/>
      <c r="C81" s="128" t="s">
        <v>88</v>
      </c>
      <c r="D81" s="137" t="s">
        <v>89</v>
      </c>
      <c r="E81" s="62">
        <v>1964</v>
      </c>
      <c r="F81" s="65">
        <v>1935</v>
      </c>
      <c r="G81" s="50">
        <f t="shared" si="5"/>
        <v>0.98523421588594706</v>
      </c>
      <c r="H81" s="65">
        <v>1964</v>
      </c>
      <c r="I81" s="65">
        <v>1920</v>
      </c>
      <c r="J81" s="129">
        <f t="shared" si="6"/>
        <v>0.9775967413441955</v>
      </c>
      <c r="K81" s="39">
        <f t="shared" si="2"/>
        <v>1964</v>
      </c>
      <c r="L81" s="31">
        <f t="shared" si="38"/>
        <v>1964</v>
      </c>
      <c r="M81" s="5"/>
      <c r="N81" s="5"/>
      <c r="O81" s="5"/>
      <c r="P81" s="82">
        <v>1964</v>
      </c>
      <c r="Q81" s="5"/>
      <c r="R81" s="5"/>
      <c r="S81" s="31">
        <f t="shared" si="39"/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56.25" x14ac:dyDescent="0.2">
      <c r="A82" s="127"/>
      <c r="B82" s="155" t="s">
        <v>90</v>
      </c>
      <c r="C82" s="156"/>
      <c r="D82" s="157" t="s">
        <v>91</v>
      </c>
      <c r="E82" s="158">
        <f>E83+E84+E85+E86+E87+E88+E89+E90+E91+E92</f>
        <v>5420653</v>
      </c>
      <c r="F82" s="158">
        <f>F83+F84+F85+F86+F87+F88+F89+F90+F91+F92</f>
        <v>3959099.4200000004</v>
      </c>
      <c r="G82" s="159">
        <f t="shared" si="5"/>
        <v>0.73037315245967604</v>
      </c>
      <c r="H82" s="158">
        <f>H83+H84+H85+H86+H87+H88+H89+H90+H91+H92</f>
        <v>5327546.5599999996</v>
      </c>
      <c r="I82" s="158">
        <f>I83+I84+I85+I86+I87+I88+I89+I90+I91+I92</f>
        <v>5679482</v>
      </c>
      <c r="J82" s="160">
        <f t="shared" si="6"/>
        <v>1.0477486752979761</v>
      </c>
      <c r="K82" s="118">
        <f t="shared" si="2"/>
        <v>5420653</v>
      </c>
      <c r="L82" s="90">
        <f t="shared" ref="L82:AC82" si="40">L83+L84+L85+L86+L87+L88+L89+L90+L91+L92</f>
        <v>5420653</v>
      </c>
      <c r="M82" s="89">
        <f t="shared" si="40"/>
        <v>0</v>
      </c>
      <c r="N82" s="89">
        <f t="shared" si="40"/>
        <v>0</v>
      </c>
      <c r="O82" s="89">
        <f t="shared" si="40"/>
        <v>0</v>
      </c>
      <c r="P82" s="89">
        <f t="shared" si="40"/>
        <v>5420653</v>
      </c>
      <c r="Q82" s="89">
        <f t="shared" si="40"/>
        <v>0</v>
      </c>
      <c r="R82" s="89">
        <f t="shared" si="40"/>
        <v>0</v>
      </c>
      <c r="S82" s="89">
        <f t="shared" si="40"/>
        <v>0</v>
      </c>
      <c r="T82" s="89">
        <f t="shared" si="40"/>
        <v>0</v>
      </c>
      <c r="U82" s="89">
        <f t="shared" si="40"/>
        <v>0</v>
      </c>
      <c r="V82" s="89">
        <f t="shared" si="40"/>
        <v>0</v>
      </c>
      <c r="W82" s="89">
        <f t="shared" si="40"/>
        <v>0</v>
      </c>
      <c r="X82" s="89">
        <f t="shared" si="40"/>
        <v>0</v>
      </c>
      <c r="Y82" s="89">
        <f t="shared" si="40"/>
        <v>0</v>
      </c>
      <c r="Z82" s="89">
        <f t="shared" si="40"/>
        <v>0</v>
      </c>
      <c r="AA82" s="89">
        <f t="shared" si="40"/>
        <v>0</v>
      </c>
      <c r="AB82" s="89">
        <f t="shared" si="40"/>
        <v>0</v>
      </c>
      <c r="AC82" s="91">
        <f t="shared" si="40"/>
        <v>0</v>
      </c>
    </row>
    <row r="83" spans="1:29" ht="14.25" customHeight="1" x14ac:dyDescent="0.2">
      <c r="A83" s="128"/>
      <c r="B83" s="128"/>
      <c r="C83" s="128" t="s">
        <v>76</v>
      </c>
      <c r="D83" s="137" t="s">
        <v>77</v>
      </c>
      <c r="E83" s="62">
        <v>3032890</v>
      </c>
      <c r="F83" s="65">
        <v>2192367.7200000002</v>
      </c>
      <c r="G83" s="50">
        <f t="shared" si="5"/>
        <v>0.72286423839967828</v>
      </c>
      <c r="H83" s="65">
        <v>2923156.96</v>
      </c>
      <c r="I83" s="65">
        <v>3148900</v>
      </c>
      <c r="J83" s="129">
        <f t="shared" si="6"/>
        <v>1.0382506454240015</v>
      </c>
      <c r="K83" s="106">
        <f t="shared" si="2"/>
        <v>3032890</v>
      </c>
      <c r="L83" s="31">
        <v>3032890</v>
      </c>
      <c r="M83" s="5"/>
      <c r="N83" s="5"/>
      <c r="O83" s="5"/>
      <c r="P83" s="82">
        <v>3032890</v>
      </c>
      <c r="Q83" s="5"/>
      <c r="R83" s="5"/>
      <c r="S83" s="31">
        <f>SUM(T83:AC83)</f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">
      <c r="A84" s="128"/>
      <c r="B84" s="128"/>
      <c r="C84" s="128" t="s">
        <v>78</v>
      </c>
      <c r="D84" s="137" t="s">
        <v>79</v>
      </c>
      <c r="E84" s="62">
        <v>707160</v>
      </c>
      <c r="F84" s="65">
        <v>488829.76</v>
      </c>
      <c r="G84" s="50">
        <f t="shared" si="5"/>
        <v>0.69125765031958819</v>
      </c>
      <c r="H84" s="65">
        <v>651773.01</v>
      </c>
      <c r="I84" s="65">
        <v>749063</v>
      </c>
      <c r="J84" s="129">
        <f t="shared" si="6"/>
        <v>1.0592553311838906</v>
      </c>
      <c r="K84" s="106">
        <f t="shared" si="2"/>
        <v>707160</v>
      </c>
      <c r="L84" s="31">
        <f t="shared" ref="L84:L92" si="41">SUM(M84:Q84)</f>
        <v>707160</v>
      </c>
      <c r="M84" s="5"/>
      <c r="N84" s="5"/>
      <c r="O84" s="5"/>
      <c r="P84" s="82">
        <v>707160</v>
      </c>
      <c r="Q84" s="5"/>
      <c r="R84" s="5"/>
      <c r="S84" s="31">
        <f t="shared" ref="S84:S92" si="42">SUM(T84:AC84)</f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">
      <c r="A85" s="128"/>
      <c r="B85" s="128"/>
      <c r="C85" s="128" t="s">
        <v>80</v>
      </c>
      <c r="D85" s="137" t="s">
        <v>81</v>
      </c>
      <c r="E85" s="62">
        <v>8900</v>
      </c>
      <c r="F85" s="65">
        <v>6891</v>
      </c>
      <c r="G85" s="50">
        <f t="shared" si="5"/>
        <v>0.77426966292134836</v>
      </c>
      <c r="H85" s="65">
        <v>8900</v>
      </c>
      <c r="I85" s="65">
        <v>9358</v>
      </c>
      <c r="J85" s="129">
        <f t="shared" si="6"/>
        <v>1.0514606741573034</v>
      </c>
      <c r="K85" s="106">
        <f t="shared" si="2"/>
        <v>8900</v>
      </c>
      <c r="L85" s="31">
        <v>8900</v>
      </c>
      <c r="M85" s="5"/>
      <c r="N85" s="5"/>
      <c r="O85" s="5"/>
      <c r="P85" s="82">
        <v>8900</v>
      </c>
      <c r="Q85" s="5"/>
      <c r="R85" s="5"/>
      <c r="S85" s="31">
        <f t="shared" si="42"/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22.5" x14ac:dyDescent="0.2">
      <c r="A86" s="128"/>
      <c r="B86" s="128"/>
      <c r="C86" s="128" t="s">
        <v>82</v>
      </c>
      <c r="D86" s="137" t="s">
        <v>83</v>
      </c>
      <c r="E86" s="62">
        <v>379800</v>
      </c>
      <c r="F86" s="65">
        <v>192748.23</v>
      </c>
      <c r="G86" s="50">
        <f t="shared" si="5"/>
        <v>0.50749928909952613</v>
      </c>
      <c r="H86" s="65">
        <v>379800</v>
      </c>
      <c r="I86" s="65">
        <v>394561</v>
      </c>
      <c r="J86" s="129">
        <f t="shared" si="6"/>
        <v>1.0388651922064245</v>
      </c>
      <c r="K86" s="106">
        <f t="shared" si="2"/>
        <v>379800</v>
      </c>
      <c r="L86" s="31">
        <f t="shared" si="41"/>
        <v>379800</v>
      </c>
      <c r="M86" s="5"/>
      <c r="N86" s="5"/>
      <c r="O86" s="5"/>
      <c r="P86" s="82">
        <v>379800</v>
      </c>
      <c r="Q86" s="5"/>
      <c r="R86" s="5"/>
      <c r="S86" s="31">
        <f t="shared" si="42"/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">
      <c r="A87" s="128"/>
      <c r="B87" s="128"/>
      <c r="C87" s="128" t="s">
        <v>92</v>
      </c>
      <c r="D87" s="137" t="s">
        <v>93</v>
      </c>
      <c r="E87" s="62">
        <v>150000</v>
      </c>
      <c r="F87" s="65">
        <v>9240.15</v>
      </c>
      <c r="G87" s="50">
        <f t="shared" si="5"/>
        <v>6.1600999999999996E-2</v>
      </c>
      <c r="H87" s="65">
        <v>12320</v>
      </c>
      <c r="I87" s="65">
        <v>10000</v>
      </c>
      <c r="J87" s="129">
        <f t="shared" si="6"/>
        <v>6.6666666666666666E-2</v>
      </c>
      <c r="K87" s="106">
        <f t="shared" si="2"/>
        <v>150000</v>
      </c>
      <c r="L87" s="31">
        <f>SUM(M87:Q87)</f>
        <v>150000</v>
      </c>
      <c r="M87" s="5"/>
      <c r="N87" s="5"/>
      <c r="O87" s="5"/>
      <c r="P87" s="82">
        <v>150000</v>
      </c>
      <c r="Q87" s="5"/>
      <c r="R87" s="5"/>
      <c r="S87" s="31">
        <f t="shared" si="42"/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">
      <c r="A88" s="128"/>
      <c r="B88" s="128"/>
      <c r="C88" s="128" t="s">
        <v>94</v>
      </c>
      <c r="D88" s="137" t="s">
        <v>95</v>
      </c>
      <c r="E88" s="62">
        <v>90000</v>
      </c>
      <c r="F88" s="65">
        <v>75881</v>
      </c>
      <c r="G88" s="50">
        <f t="shared" si="5"/>
        <v>0.84312222222222222</v>
      </c>
      <c r="H88" s="65">
        <v>90000</v>
      </c>
      <c r="I88" s="65">
        <v>90000</v>
      </c>
      <c r="J88" s="129">
        <f t="shared" si="6"/>
        <v>1</v>
      </c>
      <c r="K88" s="106">
        <f t="shared" si="2"/>
        <v>90000</v>
      </c>
      <c r="L88" s="31">
        <f t="shared" si="41"/>
        <v>90000</v>
      </c>
      <c r="M88" s="5"/>
      <c r="N88" s="5"/>
      <c r="O88" s="5"/>
      <c r="P88" s="82">
        <v>90000</v>
      </c>
      <c r="Q88" s="5"/>
      <c r="R88" s="5"/>
      <c r="S88" s="31">
        <f t="shared" si="42"/>
        <v>0</v>
      </c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22.5" x14ac:dyDescent="0.2">
      <c r="A89" s="128"/>
      <c r="B89" s="128"/>
      <c r="C89" s="128" t="s">
        <v>84</v>
      </c>
      <c r="D89" s="137" t="s">
        <v>85</v>
      </c>
      <c r="E89" s="62">
        <v>500000</v>
      </c>
      <c r="F89" s="65">
        <v>714489.46</v>
      </c>
      <c r="G89" s="50">
        <f t="shared" si="5"/>
        <v>1.4289789199999998</v>
      </c>
      <c r="H89" s="65">
        <v>714489.46</v>
      </c>
      <c r="I89" s="65">
        <v>714000</v>
      </c>
      <c r="J89" s="129">
        <f t="shared" si="6"/>
        <v>1.4279999999999999</v>
      </c>
      <c r="K89" s="106">
        <f t="shared" si="2"/>
        <v>500000</v>
      </c>
      <c r="L89" s="31">
        <f t="shared" si="41"/>
        <v>500000</v>
      </c>
      <c r="M89" s="5"/>
      <c r="N89" s="5"/>
      <c r="O89" s="5"/>
      <c r="P89" s="82">
        <v>500000</v>
      </c>
      <c r="Q89" s="5"/>
      <c r="R89" s="5"/>
      <c r="S89" s="31">
        <f t="shared" si="42"/>
        <v>0</v>
      </c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22.5" x14ac:dyDescent="0.2">
      <c r="A90" s="128"/>
      <c r="B90" s="128"/>
      <c r="C90" s="128" t="s">
        <v>96</v>
      </c>
      <c r="D90" s="137" t="s">
        <v>97</v>
      </c>
      <c r="E90" s="62">
        <v>11000</v>
      </c>
      <c r="F90" s="65">
        <v>4653.1000000000004</v>
      </c>
      <c r="G90" s="50">
        <f t="shared" si="5"/>
        <v>0.42300909090909095</v>
      </c>
      <c r="H90" s="65">
        <v>6204.13</v>
      </c>
      <c r="I90" s="65">
        <v>11000</v>
      </c>
      <c r="J90" s="129">
        <f t="shared" si="6"/>
        <v>1</v>
      </c>
      <c r="K90" s="106">
        <f t="shared" si="2"/>
        <v>11000</v>
      </c>
      <c r="L90" s="31">
        <f t="shared" si="41"/>
        <v>11000</v>
      </c>
      <c r="M90" s="5"/>
      <c r="N90" s="5"/>
      <c r="O90" s="5"/>
      <c r="P90" s="82">
        <v>11000</v>
      </c>
      <c r="Q90" s="5"/>
      <c r="R90" s="5"/>
      <c r="S90" s="31">
        <f t="shared" si="42"/>
        <v>0</v>
      </c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22.5" x14ac:dyDescent="0.2">
      <c r="A91" s="128"/>
      <c r="B91" s="128"/>
      <c r="C91" s="128" t="s">
        <v>86</v>
      </c>
      <c r="D91" s="137" t="s">
        <v>87</v>
      </c>
      <c r="E91" s="62">
        <v>20000</v>
      </c>
      <c r="F91" s="65">
        <v>18365</v>
      </c>
      <c r="G91" s="50">
        <f t="shared" si="5"/>
        <v>0.91825000000000001</v>
      </c>
      <c r="H91" s="65">
        <v>20000</v>
      </c>
      <c r="I91" s="65">
        <v>20000</v>
      </c>
      <c r="J91" s="129">
        <f t="shared" si="6"/>
        <v>1</v>
      </c>
      <c r="K91" s="106">
        <f t="shared" si="2"/>
        <v>20000</v>
      </c>
      <c r="L91" s="31">
        <f t="shared" si="41"/>
        <v>20000</v>
      </c>
      <c r="M91" s="5"/>
      <c r="N91" s="5"/>
      <c r="O91" s="5"/>
      <c r="P91" s="82">
        <v>20000</v>
      </c>
      <c r="Q91" s="5"/>
      <c r="R91" s="5"/>
      <c r="S91" s="31">
        <f t="shared" si="42"/>
        <v>0</v>
      </c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2" customFormat="1" ht="22.5" x14ac:dyDescent="0.2">
      <c r="A92" s="128"/>
      <c r="B92" s="128"/>
      <c r="C92" s="128" t="s">
        <v>88</v>
      </c>
      <c r="D92" s="137" t="s">
        <v>89</v>
      </c>
      <c r="E92" s="62">
        <v>520903</v>
      </c>
      <c r="F92" s="65">
        <v>255634</v>
      </c>
      <c r="G92" s="50">
        <f>F92/E92</f>
        <v>0.4907516370610267</v>
      </c>
      <c r="H92" s="65">
        <v>520903</v>
      </c>
      <c r="I92" s="65">
        <v>532600</v>
      </c>
      <c r="J92" s="129">
        <v>0</v>
      </c>
      <c r="K92" s="106">
        <f t="shared" si="2"/>
        <v>520903</v>
      </c>
      <c r="L92" s="31">
        <f t="shared" si="41"/>
        <v>520903</v>
      </c>
      <c r="M92" s="5"/>
      <c r="N92" s="5"/>
      <c r="O92" s="5"/>
      <c r="P92" s="82">
        <v>520903</v>
      </c>
      <c r="Q92" s="5"/>
      <c r="R92" s="5"/>
      <c r="S92" s="31">
        <f t="shared" si="42"/>
        <v>0</v>
      </c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33.75" x14ac:dyDescent="0.2">
      <c r="A93" s="127"/>
      <c r="B93" s="155" t="s">
        <v>98</v>
      </c>
      <c r="C93" s="156"/>
      <c r="D93" s="157" t="s">
        <v>99</v>
      </c>
      <c r="E93" s="158">
        <f>E94+E95</f>
        <v>422000</v>
      </c>
      <c r="F93" s="158">
        <f t="shared" ref="F93:I93" si="43">F94+F95</f>
        <v>403547.05</v>
      </c>
      <c r="G93" s="159">
        <f>F93/E93</f>
        <v>0.95627263033175358</v>
      </c>
      <c r="H93" s="158">
        <f t="shared" si="43"/>
        <v>425213</v>
      </c>
      <c r="I93" s="158">
        <f t="shared" si="43"/>
        <v>415000</v>
      </c>
      <c r="J93" s="159">
        <f>I93/H93</f>
        <v>0.97598144929717578</v>
      </c>
      <c r="K93" s="118" t="e">
        <f t="shared" si="2"/>
        <v>#REF!</v>
      </c>
      <c r="L93" s="90" t="e">
        <f>L94+L95+#REF!+#REF!+#REF!</f>
        <v>#REF!</v>
      </c>
      <c r="M93" s="90" t="e">
        <f>M94+M95+#REF!+#REF!+#REF!</f>
        <v>#REF!</v>
      </c>
      <c r="N93" s="90" t="e">
        <f>N94+N95+#REF!+#REF!+#REF!</f>
        <v>#REF!</v>
      </c>
      <c r="O93" s="90" t="e">
        <f>O94+O95+#REF!+#REF!+#REF!</f>
        <v>#REF!</v>
      </c>
      <c r="P93" s="90" t="e">
        <f>P94+P95+#REF!+#REF!+#REF!</f>
        <v>#REF!</v>
      </c>
      <c r="Q93" s="90" t="e">
        <f>Q94+Q95+#REF!+#REF!+#REF!</f>
        <v>#REF!</v>
      </c>
      <c r="R93" s="90" t="e">
        <f>R94+R95+#REF!+#REF!+#REF!</f>
        <v>#REF!</v>
      </c>
      <c r="S93" s="90" t="e">
        <f>S94+S95+#REF!+#REF!+#REF!</f>
        <v>#REF!</v>
      </c>
      <c r="T93" s="90" t="e">
        <f>T94+T95+#REF!+#REF!+#REF!</f>
        <v>#REF!</v>
      </c>
      <c r="U93" s="90" t="e">
        <f>U94+U95+#REF!+#REF!+#REF!</f>
        <v>#REF!</v>
      </c>
      <c r="V93" s="90" t="e">
        <f>V94+V95+#REF!+#REF!+#REF!</f>
        <v>#REF!</v>
      </c>
      <c r="W93" s="90" t="e">
        <f>W94+W95+#REF!+#REF!+#REF!</f>
        <v>#REF!</v>
      </c>
      <c r="X93" s="90" t="e">
        <f>X94+X95+#REF!+#REF!+#REF!</f>
        <v>#REF!</v>
      </c>
      <c r="Y93" s="90" t="e">
        <f>Y94+Y95+#REF!+#REF!+#REF!</f>
        <v>#REF!</v>
      </c>
      <c r="Z93" s="90" t="e">
        <f>Z94+Z95+#REF!+#REF!+#REF!</f>
        <v>#REF!</v>
      </c>
      <c r="AA93" s="90" t="e">
        <f>AA94+AA95+#REF!+#REF!+#REF!</f>
        <v>#REF!</v>
      </c>
      <c r="AB93" s="90" t="e">
        <f>AB94+AB95+#REF!+#REF!+#REF!</f>
        <v>#REF!</v>
      </c>
      <c r="AC93" s="90" t="e">
        <f>AC94+AC95+#REF!+#REF!+#REF!</f>
        <v>#REF!</v>
      </c>
    </row>
    <row r="94" spans="1:29" x14ac:dyDescent="0.2">
      <c r="A94" s="128"/>
      <c r="B94" s="128"/>
      <c r="C94" s="128" t="s">
        <v>100</v>
      </c>
      <c r="D94" s="137" t="s">
        <v>101</v>
      </c>
      <c r="E94" s="62">
        <v>50000</v>
      </c>
      <c r="F94" s="65">
        <v>53213</v>
      </c>
      <c r="G94" s="50">
        <f t="shared" si="5"/>
        <v>1.06426</v>
      </c>
      <c r="H94" s="65">
        <v>53213</v>
      </c>
      <c r="I94" s="65">
        <v>50000</v>
      </c>
      <c r="J94" s="129">
        <f t="shared" si="6"/>
        <v>1</v>
      </c>
      <c r="K94" s="39">
        <f t="shared" si="2"/>
        <v>50000</v>
      </c>
      <c r="L94" s="31">
        <f>SUM(M94:Q94)</f>
        <v>50000</v>
      </c>
      <c r="M94" s="31"/>
      <c r="N94" s="31"/>
      <c r="O94" s="31"/>
      <c r="P94" s="82">
        <v>50000</v>
      </c>
      <c r="Q94" s="31"/>
      <c r="R94" s="31"/>
      <c r="S94" s="31">
        <f>SUM(T94:AC94)</f>
        <v>0</v>
      </c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22.5" x14ac:dyDescent="0.2">
      <c r="A95" s="128"/>
      <c r="B95" s="128"/>
      <c r="C95" s="128" t="s">
        <v>102</v>
      </c>
      <c r="D95" s="137" t="s">
        <v>103</v>
      </c>
      <c r="E95" s="62">
        <v>372000</v>
      </c>
      <c r="F95" s="65">
        <v>350334.05</v>
      </c>
      <c r="G95" s="50">
        <f t="shared" si="5"/>
        <v>0.94175819892473112</v>
      </c>
      <c r="H95" s="65">
        <v>372000</v>
      </c>
      <c r="I95" s="65">
        <v>365000</v>
      </c>
      <c r="J95" s="129">
        <f t="shared" si="6"/>
        <v>0.98118279569892475</v>
      </c>
      <c r="K95" s="119">
        <f t="shared" si="2"/>
        <v>372000</v>
      </c>
      <c r="L95" s="32">
        <f>SUM(M95:Q95)</f>
        <v>372000</v>
      </c>
      <c r="M95" s="32"/>
      <c r="N95" s="32"/>
      <c r="O95" s="32"/>
      <c r="P95" s="86">
        <v>372000</v>
      </c>
      <c r="Q95" s="32"/>
      <c r="R95" s="32"/>
      <c r="S95" s="32">
        <f>SUM(T95:AC95)</f>
        <v>0</v>
      </c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22.5" x14ac:dyDescent="0.2">
      <c r="A96" s="127"/>
      <c r="B96" s="155" t="s">
        <v>104</v>
      </c>
      <c r="C96" s="156"/>
      <c r="D96" s="157" t="s">
        <v>105</v>
      </c>
      <c r="E96" s="158">
        <f>E97+E98</f>
        <v>15357320</v>
      </c>
      <c r="F96" s="158">
        <f t="shared" ref="F96:AC96" si="44">F97+F98</f>
        <v>10391023.960000001</v>
      </c>
      <c r="G96" s="159">
        <f t="shared" si="5"/>
        <v>0.67661701130145113</v>
      </c>
      <c r="H96" s="158">
        <f t="shared" si="44"/>
        <v>13854698.619999999</v>
      </c>
      <c r="I96" s="158">
        <f t="shared" si="44"/>
        <v>15343442</v>
      </c>
      <c r="J96" s="160">
        <f t="shared" si="6"/>
        <v>0.99909632670283621</v>
      </c>
      <c r="K96" s="113">
        <f t="shared" si="2"/>
        <v>15357320</v>
      </c>
      <c r="L96" s="55">
        <f t="shared" si="44"/>
        <v>15357320</v>
      </c>
      <c r="M96" s="54">
        <f t="shared" si="44"/>
        <v>15357320</v>
      </c>
      <c r="N96" s="54">
        <f t="shared" si="44"/>
        <v>0</v>
      </c>
      <c r="O96" s="54">
        <f t="shared" si="44"/>
        <v>0</v>
      </c>
      <c r="P96" s="54">
        <f t="shared" si="44"/>
        <v>0</v>
      </c>
      <c r="Q96" s="54">
        <f t="shared" si="44"/>
        <v>0</v>
      </c>
      <c r="R96" s="54">
        <f t="shared" si="44"/>
        <v>0</v>
      </c>
      <c r="S96" s="54">
        <f t="shared" si="44"/>
        <v>0</v>
      </c>
      <c r="T96" s="54">
        <f t="shared" si="44"/>
        <v>0</v>
      </c>
      <c r="U96" s="54">
        <f t="shared" si="44"/>
        <v>0</v>
      </c>
      <c r="V96" s="54">
        <f t="shared" si="44"/>
        <v>0</v>
      </c>
      <c r="W96" s="54">
        <f t="shared" si="44"/>
        <v>0</v>
      </c>
      <c r="X96" s="54">
        <f t="shared" si="44"/>
        <v>0</v>
      </c>
      <c r="Y96" s="54">
        <f t="shared" si="44"/>
        <v>0</v>
      </c>
      <c r="Z96" s="54">
        <f t="shared" si="44"/>
        <v>0</v>
      </c>
      <c r="AA96" s="54">
        <f t="shared" si="44"/>
        <v>0</v>
      </c>
      <c r="AB96" s="54">
        <f t="shared" si="44"/>
        <v>0</v>
      </c>
      <c r="AC96" s="56">
        <f t="shared" si="44"/>
        <v>0</v>
      </c>
    </row>
    <row r="97" spans="1:29" ht="22.5" x14ac:dyDescent="0.2">
      <c r="A97" s="128"/>
      <c r="B97" s="128"/>
      <c r="C97" s="128" t="s">
        <v>106</v>
      </c>
      <c r="D97" s="137" t="s">
        <v>71</v>
      </c>
      <c r="E97" s="62">
        <v>14157320</v>
      </c>
      <c r="F97" s="65">
        <v>9618314</v>
      </c>
      <c r="G97" s="50">
        <f t="shared" si="5"/>
        <v>0.67938804802038799</v>
      </c>
      <c r="H97" s="65">
        <v>12824418.67</v>
      </c>
      <c r="I97" s="65">
        <v>14243442</v>
      </c>
      <c r="J97" s="129">
        <f t="shared" si="6"/>
        <v>1.0060832134895588</v>
      </c>
      <c r="K97" s="106">
        <f t="shared" si="2"/>
        <v>14157320</v>
      </c>
      <c r="L97" s="31">
        <f>SUM(M97:Q97)</f>
        <v>14157320</v>
      </c>
      <c r="M97" s="82">
        <v>14157320</v>
      </c>
      <c r="N97" s="31"/>
      <c r="O97" s="31"/>
      <c r="P97" s="31"/>
      <c r="Q97" s="31"/>
      <c r="R97" s="31"/>
      <c r="S97" s="31">
        <f>SUM(T97:AC97)</f>
        <v>0</v>
      </c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22.5" x14ac:dyDescent="0.2">
      <c r="A98" s="128"/>
      <c r="B98" s="128"/>
      <c r="C98" s="128" t="s">
        <v>107</v>
      </c>
      <c r="D98" s="137" t="s">
        <v>108</v>
      </c>
      <c r="E98" s="62">
        <v>1200000</v>
      </c>
      <c r="F98" s="65">
        <v>772709.96</v>
      </c>
      <c r="G98" s="50">
        <f t="shared" si="5"/>
        <v>0.64392496666666665</v>
      </c>
      <c r="H98" s="65">
        <v>1030279.95</v>
      </c>
      <c r="I98" s="65">
        <v>1100000</v>
      </c>
      <c r="J98" s="129">
        <f t="shared" si="6"/>
        <v>0.91666666666666663</v>
      </c>
      <c r="K98" s="39">
        <f t="shared" si="2"/>
        <v>1200000</v>
      </c>
      <c r="L98" s="31">
        <f>SUM(M98:Q98)</f>
        <v>1200000</v>
      </c>
      <c r="M98" s="82">
        <v>1200000</v>
      </c>
      <c r="N98" s="31"/>
      <c r="O98" s="31"/>
      <c r="P98" s="31"/>
      <c r="Q98" s="31"/>
      <c r="R98" s="31"/>
      <c r="S98" s="31">
        <f>SUM(T98:AC98)</f>
        <v>0</v>
      </c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26.25" customHeight="1" x14ac:dyDescent="0.2">
      <c r="A99" s="148" t="s">
        <v>109</v>
      </c>
      <c r="B99" s="148"/>
      <c r="C99" s="148"/>
      <c r="D99" s="145" t="s">
        <v>110</v>
      </c>
      <c r="E99" s="149">
        <f>E100+E102+E104+E113+E111</f>
        <v>20964872.98</v>
      </c>
      <c r="F99" s="149">
        <f>F100+F102+F104+F113+F111</f>
        <v>17308941.759999998</v>
      </c>
      <c r="G99" s="150">
        <f t="shared" ref="G99:G165" si="45">F99/E99</f>
        <v>0.82561634294242203</v>
      </c>
      <c r="H99" s="149">
        <f>H100+H102+H104+H113</f>
        <v>20447324.670000002</v>
      </c>
      <c r="I99" s="149">
        <f>I100+I102+I104+I113</f>
        <v>22119095</v>
      </c>
      <c r="J99" s="151">
        <f>I99/E99</f>
        <v>1.0550550447456133</v>
      </c>
      <c r="K99" s="116" t="e">
        <f t="shared" ref="K99:K165" si="46">L99+R99+S99</f>
        <v>#REF!</v>
      </c>
      <c r="L99" s="41" t="e">
        <f t="shared" ref="L99:AC99" si="47">L100+L102+L104+L113</f>
        <v>#REF!</v>
      </c>
      <c r="M99" s="7" t="e">
        <f t="shared" si="47"/>
        <v>#REF!</v>
      </c>
      <c r="N99" s="7" t="e">
        <f t="shared" si="47"/>
        <v>#REF!</v>
      </c>
      <c r="O99" s="7" t="e">
        <f t="shared" si="47"/>
        <v>#REF!</v>
      </c>
      <c r="P99" s="7" t="e">
        <f t="shared" si="47"/>
        <v>#REF!</v>
      </c>
      <c r="Q99" s="7" t="e">
        <f t="shared" si="47"/>
        <v>#REF!</v>
      </c>
      <c r="R99" s="7" t="e">
        <f t="shared" si="47"/>
        <v>#REF!</v>
      </c>
      <c r="S99" s="7" t="e">
        <f t="shared" si="47"/>
        <v>#REF!</v>
      </c>
      <c r="T99" s="7" t="e">
        <f t="shared" si="47"/>
        <v>#REF!</v>
      </c>
      <c r="U99" s="7" t="e">
        <f t="shared" si="47"/>
        <v>#REF!</v>
      </c>
      <c r="V99" s="7" t="e">
        <f t="shared" si="47"/>
        <v>#REF!</v>
      </c>
      <c r="W99" s="7" t="e">
        <f t="shared" si="47"/>
        <v>#REF!</v>
      </c>
      <c r="X99" s="7" t="e">
        <f t="shared" si="47"/>
        <v>#REF!</v>
      </c>
      <c r="Y99" s="7" t="e">
        <f t="shared" si="47"/>
        <v>#REF!</v>
      </c>
      <c r="Z99" s="7" t="e">
        <f t="shared" si="47"/>
        <v>#REF!</v>
      </c>
      <c r="AA99" s="7" t="e">
        <f t="shared" si="47"/>
        <v>#REF!</v>
      </c>
      <c r="AB99" s="7" t="e">
        <f t="shared" si="47"/>
        <v>#REF!</v>
      </c>
      <c r="AC99" s="34" t="e">
        <f t="shared" si="47"/>
        <v>#REF!</v>
      </c>
    </row>
    <row r="100" spans="1:29" ht="22.5" x14ac:dyDescent="0.2">
      <c r="A100" s="127"/>
      <c r="B100" s="155" t="s">
        <v>111</v>
      </c>
      <c r="C100" s="156"/>
      <c r="D100" s="157" t="s">
        <v>112</v>
      </c>
      <c r="E100" s="158">
        <f>E101</f>
        <v>14791175</v>
      </c>
      <c r="F100" s="158">
        <f t="shared" ref="F100:AC100" si="48">F101</f>
        <v>12523159</v>
      </c>
      <c r="G100" s="159">
        <f t="shared" si="45"/>
        <v>0.84666424405092899</v>
      </c>
      <c r="H100" s="158">
        <f t="shared" si="48"/>
        <v>14791175</v>
      </c>
      <c r="I100" s="158">
        <f t="shared" si="48"/>
        <v>15528821</v>
      </c>
      <c r="J100" s="160">
        <f t="shared" ref="J100:J165" si="49">I100/E100</f>
        <v>1.0498706830255202</v>
      </c>
      <c r="K100" s="114">
        <f t="shared" si="46"/>
        <v>14719625</v>
      </c>
      <c r="L100" s="44">
        <f t="shared" si="48"/>
        <v>14719625</v>
      </c>
      <c r="M100" s="8">
        <f t="shared" si="48"/>
        <v>14719625</v>
      </c>
      <c r="N100" s="8">
        <f t="shared" si="48"/>
        <v>0</v>
      </c>
      <c r="O100" s="8">
        <f t="shared" si="48"/>
        <v>0</v>
      </c>
      <c r="P100" s="8">
        <f t="shared" si="48"/>
        <v>0</v>
      </c>
      <c r="Q100" s="8">
        <f t="shared" si="48"/>
        <v>0</v>
      </c>
      <c r="R100" s="8">
        <f t="shared" si="48"/>
        <v>0</v>
      </c>
      <c r="S100" s="8">
        <f t="shared" si="48"/>
        <v>0</v>
      </c>
      <c r="T100" s="8">
        <f t="shared" si="48"/>
        <v>0</v>
      </c>
      <c r="U100" s="8">
        <f t="shared" si="48"/>
        <v>0</v>
      </c>
      <c r="V100" s="8">
        <f t="shared" si="48"/>
        <v>0</v>
      </c>
      <c r="W100" s="8">
        <f t="shared" si="48"/>
        <v>0</v>
      </c>
      <c r="X100" s="8">
        <f t="shared" si="48"/>
        <v>0</v>
      </c>
      <c r="Y100" s="8">
        <f t="shared" si="48"/>
        <v>0</v>
      </c>
      <c r="Z100" s="8">
        <f t="shared" si="48"/>
        <v>0</v>
      </c>
      <c r="AA100" s="8">
        <f t="shared" si="48"/>
        <v>0</v>
      </c>
      <c r="AB100" s="8">
        <f t="shared" si="48"/>
        <v>0</v>
      </c>
      <c r="AC100" s="35">
        <f t="shared" si="48"/>
        <v>0</v>
      </c>
    </row>
    <row r="101" spans="1:29" x14ac:dyDescent="0.2">
      <c r="A101" s="128"/>
      <c r="B101" s="128"/>
      <c r="C101" s="128" t="s">
        <v>113</v>
      </c>
      <c r="D101" s="137" t="s">
        <v>114</v>
      </c>
      <c r="E101" s="62">
        <v>14791175</v>
      </c>
      <c r="F101" s="65">
        <v>12523159</v>
      </c>
      <c r="G101" s="50">
        <f t="shared" si="45"/>
        <v>0.84666424405092899</v>
      </c>
      <c r="H101" s="65">
        <v>14791175</v>
      </c>
      <c r="I101" s="65">
        <v>15528821</v>
      </c>
      <c r="J101" s="129">
        <f t="shared" si="49"/>
        <v>1.0498706830255202</v>
      </c>
      <c r="K101" s="39">
        <f t="shared" si="46"/>
        <v>14719625</v>
      </c>
      <c r="L101" s="31">
        <f>SUM(M101:Q101)</f>
        <v>14719625</v>
      </c>
      <c r="M101" s="82">
        <v>14719625</v>
      </c>
      <c r="N101" s="31"/>
      <c r="O101" s="31"/>
      <c r="P101" s="31"/>
      <c r="Q101" s="31"/>
      <c r="R101" s="31"/>
      <c r="S101" s="31">
        <f>SUM(T101:AC101)</f>
        <v>0</v>
      </c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22.5" x14ac:dyDescent="0.2">
      <c r="A102" s="127"/>
      <c r="B102" s="155" t="s">
        <v>115</v>
      </c>
      <c r="C102" s="156"/>
      <c r="D102" s="157" t="s">
        <v>116</v>
      </c>
      <c r="E102" s="158">
        <f>E103</f>
        <v>5252272</v>
      </c>
      <c r="F102" s="158">
        <f t="shared" ref="F102:AC102" si="50">F103</f>
        <v>3939201</v>
      </c>
      <c r="G102" s="159">
        <f t="shared" si="45"/>
        <v>0.74999942881861414</v>
      </c>
      <c r="H102" s="158">
        <f t="shared" si="50"/>
        <v>5252272</v>
      </c>
      <c r="I102" s="158">
        <f t="shared" si="50"/>
        <v>6323982</v>
      </c>
      <c r="J102" s="160">
        <f t="shared" si="49"/>
        <v>1.2040469343552658</v>
      </c>
      <c r="K102" s="114">
        <f t="shared" si="46"/>
        <v>5252272</v>
      </c>
      <c r="L102" s="44">
        <f t="shared" si="50"/>
        <v>5252272</v>
      </c>
      <c r="M102" s="8">
        <f t="shared" si="50"/>
        <v>5252272</v>
      </c>
      <c r="N102" s="8">
        <f t="shared" si="50"/>
        <v>0</v>
      </c>
      <c r="O102" s="8">
        <f t="shared" si="50"/>
        <v>0</v>
      </c>
      <c r="P102" s="8">
        <f t="shared" si="50"/>
        <v>0</v>
      </c>
      <c r="Q102" s="8">
        <f t="shared" si="50"/>
        <v>0</v>
      </c>
      <c r="R102" s="8">
        <f t="shared" si="50"/>
        <v>0</v>
      </c>
      <c r="S102" s="8">
        <f t="shared" si="50"/>
        <v>0</v>
      </c>
      <c r="T102" s="8">
        <f t="shared" si="50"/>
        <v>0</v>
      </c>
      <c r="U102" s="8">
        <f t="shared" si="50"/>
        <v>0</v>
      </c>
      <c r="V102" s="8">
        <f t="shared" si="50"/>
        <v>0</v>
      </c>
      <c r="W102" s="8">
        <f t="shared" si="50"/>
        <v>0</v>
      </c>
      <c r="X102" s="8">
        <f t="shared" si="50"/>
        <v>0</v>
      </c>
      <c r="Y102" s="8">
        <f t="shared" si="50"/>
        <v>0</v>
      </c>
      <c r="Z102" s="8">
        <f t="shared" si="50"/>
        <v>0</v>
      </c>
      <c r="AA102" s="8">
        <f t="shared" si="50"/>
        <v>0</v>
      </c>
      <c r="AB102" s="8">
        <f t="shared" si="50"/>
        <v>0</v>
      </c>
      <c r="AC102" s="35">
        <f t="shared" si="50"/>
        <v>0</v>
      </c>
    </row>
    <row r="103" spans="1:29" ht="15" customHeight="1" x14ac:dyDescent="0.2">
      <c r="A103" s="128"/>
      <c r="B103" s="128"/>
      <c r="C103" s="128" t="s">
        <v>113</v>
      </c>
      <c r="D103" s="137" t="s">
        <v>114</v>
      </c>
      <c r="E103" s="62">
        <v>5252272</v>
      </c>
      <c r="F103" s="65">
        <v>3939201</v>
      </c>
      <c r="G103" s="50">
        <f t="shared" si="45"/>
        <v>0.74999942881861414</v>
      </c>
      <c r="H103" s="65">
        <v>5252272</v>
      </c>
      <c r="I103" s="65">
        <v>6323982</v>
      </c>
      <c r="J103" s="129">
        <f t="shared" si="49"/>
        <v>1.2040469343552658</v>
      </c>
      <c r="K103" s="39">
        <f t="shared" si="46"/>
        <v>5252272</v>
      </c>
      <c r="L103" s="31">
        <f>SUM(M103:Q103)</f>
        <v>5252272</v>
      </c>
      <c r="M103" s="82">
        <v>5252272</v>
      </c>
      <c r="N103" s="31"/>
      <c r="O103" s="31"/>
      <c r="P103" s="31"/>
      <c r="Q103" s="31"/>
      <c r="R103" s="31"/>
      <c r="S103" s="31">
        <f>SUM(T103:AC103)</f>
        <v>0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5" x14ac:dyDescent="0.2">
      <c r="A104" s="127"/>
      <c r="B104" s="155" t="s">
        <v>117</v>
      </c>
      <c r="C104" s="156"/>
      <c r="D104" s="157" t="s">
        <v>118</v>
      </c>
      <c r="E104" s="158">
        <f>E105+E106+E107+E108+E109+E110</f>
        <v>186003.97999999998</v>
      </c>
      <c r="F104" s="158">
        <f t="shared" ref="F104:I104" si="51">F105+F106+F107+F108+F109+F110</f>
        <v>163776.76</v>
      </c>
      <c r="G104" s="159">
        <f>F104/E104</f>
        <v>0.88050137421790664</v>
      </c>
      <c r="H104" s="158">
        <f t="shared" si="51"/>
        <v>193391.66999999998</v>
      </c>
      <c r="I104" s="158">
        <f t="shared" si="51"/>
        <v>40000</v>
      </c>
      <c r="J104" s="159">
        <f>I104/H104</f>
        <v>0.20683414130505209</v>
      </c>
      <c r="K104" s="120" t="e">
        <f t="shared" si="46"/>
        <v>#REF!</v>
      </c>
      <c r="L104" s="59" t="e">
        <f>L105+L106+#REF!+L108+#REF!+L109+L110</f>
        <v>#REF!</v>
      </c>
      <c r="M104" s="58" t="e">
        <f>M105+M106+#REF!+M108+#REF!+M109+M110</f>
        <v>#REF!</v>
      </c>
      <c r="N104" s="58" t="e">
        <f>N105+N106+#REF!+N108+#REF!+N109+N110</f>
        <v>#REF!</v>
      </c>
      <c r="O104" s="58" t="e">
        <f>O105+O106+#REF!+O108+#REF!+O109+O110</f>
        <v>#REF!</v>
      </c>
      <c r="P104" s="58" t="e">
        <f>P105+P106+#REF!+P108+#REF!+P109+P110</f>
        <v>#REF!</v>
      </c>
      <c r="Q104" s="58" t="e">
        <f>Q105+Q106+#REF!+Q108+#REF!+Q109+Q110</f>
        <v>#REF!</v>
      </c>
      <c r="R104" s="58" t="e">
        <f>R105+R106+#REF!+R108+#REF!+R109+R110</f>
        <v>#REF!</v>
      </c>
      <c r="S104" s="58" t="e">
        <f>S105+S106+#REF!+S108+#REF!+S109+S110</f>
        <v>#REF!</v>
      </c>
      <c r="T104" s="58" t="e">
        <f>T105+T106+#REF!+T108+#REF!+T109+T110</f>
        <v>#REF!</v>
      </c>
      <c r="U104" s="58" t="e">
        <f>U105+U106+#REF!+U108+#REF!+U109+U110</f>
        <v>#REF!</v>
      </c>
      <c r="V104" s="58" t="e">
        <f>V105+V106+#REF!+V108+#REF!+V109+V110</f>
        <v>#REF!</v>
      </c>
      <c r="W104" s="58" t="e">
        <f>W105+W106+#REF!+W108+#REF!+W109+W110</f>
        <v>#REF!</v>
      </c>
      <c r="X104" s="58" t="e">
        <f>X105+X106+#REF!+X108+#REF!+X109+X110</f>
        <v>#REF!</v>
      </c>
      <c r="Y104" s="58" t="e">
        <f>Y105+Y106+#REF!+Y108+#REF!+Y109+Y110</f>
        <v>#REF!</v>
      </c>
      <c r="Z104" s="58" t="e">
        <f>Z105+Z106+#REF!+Z108+#REF!+Z109+Z110</f>
        <v>#REF!</v>
      </c>
      <c r="AA104" s="58" t="e">
        <f>AA105+AA106+#REF!+AA108+#REF!+AA109+AA110</f>
        <v>#REF!</v>
      </c>
      <c r="AB104" s="58" t="e">
        <f>AB105+AB106+#REF!+AB108+#REF!+AB109+AB110</f>
        <v>#REF!</v>
      </c>
      <c r="AC104" s="60" t="e">
        <f>AC105+AC106+#REF!+AC108+#REF!+AC109+AC110</f>
        <v>#REF!</v>
      </c>
    </row>
    <row r="105" spans="1:29" x14ac:dyDescent="0.2">
      <c r="A105" s="128"/>
      <c r="B105" s="128"/>
      <c r="C105" s="128" t="s">
        <v>119</v>
      </c>
      <c r="D105" s="137" t="s">
        <v>120</v>
      </c>
      <c r="E105" s="62">
        <v>60000</v>
      </c>
      <c r="F105" s="138">
        <v>30385.09</v>
      </c>
      <c r="G105" s="67">
        <f t="shared" ref="G105:G110" si="52">F105/E105</f>
        <v>0.50641816666666661</v>
      </c>
      <c r="H105" s="138">
        <v>60000</v>
      </c>
      <c r="I105" s="65">
        <v>40000</v>
      </c>
      <c r="J105" s="129">
        <f t="shared" ref="J105:J110" si="53">I105/E105</f>
        <v>0.66666666666666663</v>
      </c>
      <c r="K105" s="39">
        <f t="shared" si="46"/>
        <v>60000</v>
      </c>
      <c r="L105" s="61">
        <v>60000</v>
      </c>
      <c r="M105" s="61"/>
      <c r="N105" s="61"/>
      <c r="O105" s="61"/>
      <c r="P105" s="83">
        <v>60000</v>
      </c>
      <c r="Q105" s="61"/>
      <c r="R105" s="61"/>
      <c r="S105" s="61">
        <f>SUM(T105:AC105)</f>
        <v>0</v>
      </c>
      <c r="T105" s="61"/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1:29" x14ac:dyDescent="0.2">
      <c r="A106" s="128"/>
      <c r="B106" s="128"/>
      <c r="C106" s="128" t="s">
        <v>121</v>
      </c>
      <c r="D106" s="137" t="s">
        <v>122</v>
      </c>
      <c r="E106" s="62">
        <v>0</v>
      </c>
      <c r="F106" s="138">
        <v>851.11</v>
      </c>
      <c r="G106" s="67">
        <v>0</v>
      </c>
      <c r="H106" s="138">
        <v>851.11</v>
      </c>
      <c r="I106" s="65">
        <v>0</v>
      </c>
      <c r="J106" s="129">
        <v>0</v>
      </c>
      <c r="K106" s="106">
        <f t="shared" si="46"/>
        <v>0</v>
      </c>
      <c r="L106" s="31">
        <f t="shared" ref="L106:L110" si="54">SUM(M106:Q106)</f>
        <v>0</v>
      </c>
      <c r="M106" s="31"/>
      <c r="N106" s="31"/>
      <c r="O106" s="31"/>
      <c r="P106" s="31">
        <v>0</v>
      </c>
      <c r="Q106" s="31"/>
      <c r="R106" s="31"/>
      <c r="S106" s="31">
        <f t="shared" ref="S106:S110" si="55">SUM(T106:AC106)</f>
        <v>0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s="2" customFormat="1" x14ac:dyDescent="0.2">
      <c r="A107" s="128"/>
      <c r="B107" s="128"/>
      <c r="C107" s="154" t="s">
        <v>56</v>
      </c>
      <c r="D107" s="137" t="s">
        <v>57</v>
      </c>
      <c r="E107" s="62">
        <v>0</v>
      </c>
      <c r="F107" s="138">
        <v>6536.58</v>
      </c>
      <c r="G107" s="67">
        <v>0</v>
      </c>
      <c r="H107" s="138">
        <v>6536.58</v>
      </c>
      <c r="I107" s="65">
        <v>0</v>
      </c>
      <c r="J107" s="129">
        <v>0</v>
      </c>
      <c r="K107" s="10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45" x14ac:dyDescent="0.2">
      <c r="A108" s="128"/>
      <c r="B108" s="128"/>
      <c r="C108" s="128" t="s">
        <v>123</v>
      </c>
      <c r="D108" s="137" t="s">
        <v>124</v>
      </c>
      <c r="E108" s="62">
        <v>97575.24</v>
      </c>
      <c r="F108" s="138">
        <v>97575.24</v>
      </c>
      <c r="G108" s="67">
        <f t="shared" si="52"/>
        <v>1</v>
      </c>
      <c r="H108" s="138">
        <v>97575.24</v>
      </c>
      <c r="I108" s="65">
        <v>0</v>
      </c>
      <c r="J108" s="129">
        <f t="shared" si="53"/>
        <v>0</v>
      </c>
      <c r="K108" s="106">
        <f t="shared" si="46"/>
        <v>0</v>
      </c>
      <c r="L108" s="31">
        <f t="shared" si="54"/>
        <v>0</v>
      </c>
      <c r="M108" s="31"/>
      <c r="N108" s="31"/>
      <c r="O108" s="31"/>
      <c r="P108" s="31"/>
      <c r="Q108" s="31"/>
      <c r="R108" s="31"/>
      <c r="S108" s="31">
        <f t="shared" si="55"/>
        <v>0</v>
      </c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45" x14ac:dyDescent="0.2">
      <c r="A109" s="128"/>
      <c r="B109" s="128"/>
      <c r="C109" s="128" t="s">
        <v>126</v>
      </c>
      <c r="D109" s="137" t="s">
        <v>127</v>
      </c>
      <c r="E109" s="62">
        <v>7334.85</v>
      </c>
      <c r="F109" s="138">
        <v>7334.85</v>
      </c>
      <c r="G109" s="67">
        <f t="shared" si="52"/>
        <v>1</v>
      </c>
      <c r="H109" s="138">
        <v>7334.85</v>
      </c>
      <c r="I109" s="65">
        <v>0</v>
      </c>
      <c r="J109" s="129">
        <f t="shared" si="53"/>
        <v>0</v>
      </c>
      <c r="K109" s="106">
        <f t="shared" si="46"/>
        <v>0</v>
      </c>
      <c r="L109" s="31">
        <f t="shared" si="54"/>
        <v>0</v>
      </c>
      <c r="M109" s="31"/>
      <c r="N109" s="31"/>
      <c r="O109" s="31"/>
      <c r="P109" s="31"/>
      <c r="Q109" s="31"/>
      <c r="R109" s="31"/>
      <c r="S109" s="31">
        <f t="shared" si="55"/>
        <v>0</v>
      </c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45" x14ac:dyDescent="0.2">
      <c r="A110" s="128"/>
      <c r="B110" s="128"/>
      <c r="C110" s="128" t="s">
        <v>128</v>
      </c>
      <c r="D110" s="137" t="s">
        <v>125</v>
      </c>
      <c r="E110" s="62">
        <v>21093.89</v>
      </c>
      <c r="F110" s="138">
        <v>21093.89</v>
      </c>
      <c r="G110" s="67">
        <f t="shared" si="52"/>
        <v>1</v>
      </c>
      <c r="H110" s="138">
        <v>21093.89</v>
      </c>
      <c r="I110" s="65">
        <v>0</v>
      </c>
      <c r="J110" s="129">
        <f t="shared" si="53"/>
        <v>0</v>
      </c>
      <c r="K110" s="106">
        <f t="shared" si="46"/>
        <v>0</v>
      </c>
      <c r="L110" s="31">
        <f t="shared" si="54"/>
        <v>0</v>
      </c>
      <c r="M110" s="31"/>
      <c r="N110" s="31"/>
      <c r="O110" s="31"/>
      <c r="P110" s="31"/>
      <c r="Q110" s="31"/>
      <c r="R110" s="31"/>
      <c r="S110" s="31">
        <f t="shared" si="55"/>
        <v>0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s="74" customFormat="1" x14ac:dyDescent="0.2">
      <c r="A111" s="128"/>
      <c r="B111" s="155" t="s">
        <v>304</v>
      </c>
      <c r="C111" s="155"/>
      <c r="D111" s="157" t="s">
        <v>307</v>
      </c>
      <c r="E111" s="158">
        <f>E112</f>
        <v>524936</v>
      </c>
      <c r="F111" s="158">
        <f>F112</f>
        <v>524936</v>
      </c>
      <c r="G111" s="163">
        <f>F111/E111</f>
        <v>1</v>
      </c>
      <c r="H111" s="164">
        <f>H112</f>
        <v>524936</v>
      </c>
      <c r="I111" s="164">
        <f>I112</f>
        <v>0</v>
      </c>
      <c r="J111" s="160">
        <v>0</v>
      </c>
      <c r="K111" s="106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3"/>
    </row>
    <row r="112" spans="1:29" s="74" customFormat="1" ht="56.25" x14ac:dyDescent="0.2">
      <c r="A112" s="128"/>
      <c r="B112" s="128"/>
      <c r="C112" s="128" t="s">
        <v>47</v>
      </c>
      <c r="D112" s="137" t="s">
        <v>308</v>
      </c>
      <c r="E112" s="62">
        <v>524936</v>
      </c>
      <c r="F112" s="138">
        <v>524936</v>
      </c>
      <c r="G112" s="67">
        <f>F112/E112</f>
        <v>1</v>
      </c>
      <c r="H112" s="138">
        <v>524936</v>
      </c>
      <c r="I112" s="65">
        <v>0</v>
      </c>
      <c r="J112" s="129">
        <v>0</v>
      </c>
      <c r="K112" s="106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3"/>
    </row>
    <row r="113" spans="1:29" ht="22.5" x14ac:dyDescent="0.2">
      <c r="A113" s="127"/>
      <c r="B113" s="155" t="s">
        <v>129</v>
      </c>
      <c r="C113" s="156"/>
      <c r="D113" s="157" t="s">
        <v>130</v>
      </c>
      <c r="E113" s="158">
        <f>E114</f>
        <v>210486</v>
      </c>
      <c r="F113" s="158">
        <f t="shared" ref="F113:AC113" si="56">F114</f>
        <v>157869</v>
      </c>
      <c r="G113" s="159">
        <f t="shared" si="45"/>
        <v>0.7500213790940965</v>
      </c>
      <c r="H113" s="158">
        <f t="shared" si="56"/>
        <v>210486</v>
      </c>
      <c r="I113" s="158">
        <f t="shared" si="56"/>
        <v>226292</v>
      </c>
      <c r="J113" s="160">
        <f t="shared" si="49"/>
        <v>1.0750928802865749</v>
      </c>
      <c r="K113" s="114">
        <f t="shared" si="46"/>
        <v>210486</v>
      </c>
      <c r="L113" s="44">
        <f t="shared" si="56"/>
        <v>210486</v>
      </c>
      <c r="M113" s="8">
        <f t="shared" si="56"/>
        <v>210486</v>
      </c>
      <c r="N113" s="8">
        <f t="shared" si="56"/>
        <v>0</v>
      </c>
      <c r="O113" s="8">
        <f t="shared" si="56"/>
        <v>0</v>
      </c>
      <c r="P113" s="8">
        <f t="shared" si="56"/>
        <v>0</v>
      </c>
      <c r="Q113" s="8">
        <f t="shared" si="56"/>
        <v>0</v>
      </c>
      <c r="R113" s="8">
        <f t="shared" si="56"/>
        <v>0</v>
      </c>
      <c r="S113" s="8">
        <f t="shared" si="56"/>
        <v>0</v>
      </c>
      <c r="T113" s="8">
        <f t="shared" si="56"/>
        <v>0</v>
      </c>
      <c r="U113" s="8">
        <f t="shared" si="56"/>
        <v>0</v>
      </c>
      <c r="V113" s="8">
        <f t="shared" si="56"/>
        <v>0</v>
      </c>
      <c r="W113" s="8">
        <f t="shared" si="56"/>
        <v>0</v>
      </c>
      <c r="X113" s="8">
        <f t="shared" si="56"/>
        <v>0</v>
      </c>
      <c r="Y113" s="8">
        <f t="shared" si="56"/>
        <v>0</v>
      </c>
      <c r="Z113" s="8">
        <f t="shared" si="56"/>
        <v>0</v>
      </c>
      <c r="AA113" s="8">
        <f t="shared" si="56"/>
        <v>0</v>
      </c>
      <c r="AB113" s="8">
        <f t="shared" si="56"/>
        <v>0</v>
      </c>
      <c r="AC113" s="35">
        <f t="shared" si="56"/>
        <v>0</v>
      </c>
    </row>
    <row r="114" spans="1:29" x14ac:dyDescent="0.2">
      <c r="A114" s="128"/>
      <c r="B114" s="128"/>
      <c r="C114" s="128" t="s">
        <v>113</v>
      </c>
      <c r="D114" s="137" t="s">
        <v>114</v>
      </c>
      <c r="E114" s="62">
        <v>210486</v>
      </c>
      <c r="F114" s="65">
        <v>157869</v>
      </c>
      <c r="G114" s="50">
        <f t="shared" si="45"/>
        <v>0.7500213790940965</v>
      </c>
      <c r="H114" s="65">
        <v>210486</v>
      </c>
      <c r="I114" s="65">
        <v>226292</v>
      </c>
      <c r="J114" s="129">
        <f t="shared" si="49"/>
        <v>1.0750928802865749</v>
      </c>
      <c r="K114" s="39">
        <f t="shared" si="46"/>
        <v>210486</v>
      </c>
      <c r="L114" s="31">
        <f>SUM(M114:Q114)</f>
        <v>210486</v>
      </c>
      <c r="M114" s="82">
        <v>210486</v>
      </c>
      <c r="N114" s="31"/>
      <c r="O114" s="31"/>
      <c r="P114" s="31"/>
      <c r="Q114" s="31"/>
      <c r="R114" s="31"/>
      <c r="S114" s="31">
        <f>SUM(T114:AC114)</f>
        <v>0</v>
      </c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26.25" customHeight="1" x14ac:dyDescent="0.2">
      <c r="A115" s="148" t="s">
        <v>131</v>
      </c>
      <c r="B115" s="148"/>
      <c r="C115" s="148"/>
      <c r="D115" s="145" t="s">
        <v>132</v>
      </c>
      <c r="E115" s="149">
        <f>E116+E123+E125+E131+E134</f>
        <v>1867067.22</v>
      </c>
      <c r="F115" s="149">
        <f t="shared" ref="F115:I115" si="57">F116+F123+F125+F131+F134</f>
        <v>1142771.5900000001</v>
      </c>
      <c r="G115" s="150">
        <f>F115/E115</f>
        <v>0.61206772726693803</v>
      </c>
      <c r="H115" s="149">
        <f t="shared" si="57"/>
        <v>1395120.1500000001</v>
      </c>
      <c r="I115" s="149">
        <f t="shared" si="57"/>
        <v>1634891</v>
      </c>
      <c r="J115" s="150">
        <f>I115/E115</f>
        <v>0.87564656616916026</v>
      </c>
      <c r="K115" s="116" t="e">
        <f t="shared" si="46"/>
        <v>#REF!</v>
      </c>
      <c r="L115" s="41" t="e">
        <f>L116+L123+L125+L131+L134+#REF!</f>
        <v>#REF!</v>
      </c>
      <c r="M115" s="7" t="e">
        <f>M116+M123+M125+M131+M134+#REF!</f>
        <v>#REF!</v>
      </c>
      <c r="N115" s="7" t="e">
        <f>N116+N123+N125+N131+N134+#REF!</f>
        <v>#REF!</v>
      </c>
      <c r="O115" s="7" t="e">
        <f>O116+O123+O125+O131+O134+#REF!</f>
        <v>#REF!</v>
      </c>
      <c r="P115" s="7" t="e">
        <f>P116+P123+P125+P131+P134+#REF!</f>
        <v>#REF!</v>
      </c>
      <c r="Q115" s="7" t="e">
        <f>Q116+Q123+Q125+Q131+Q134+#REF!</f>
        <v>#REF!</v>
      </c>
      <c r="R115" s="7" t="e">
        <f>R116+R123+R125+R131+R134+#REF!</f>
        <v>#REF!</v>
      </c>
      <c r="S115" s="7" t="e">
        <f>S116+S123+S125+S131+S134+#REF!</f>
        <v>#REF!</v>
      </c>
      <c r="T115" s="7" t="e">
        <f>T116+T123+T125+T131+T134+#REF!</f>
        <v>#REF!</v>
      </c>
      <c r="U115" s="7" t="e">
        <f>U116+U123+U125+U131+U134+#REF!</f>
        <v>#REF!</v>
      </c>
      <c r="V115" s="7" t="e">
        <f>V116+V123+V125+V131+V134+#REF!</f>
        <v>#REF!</v>
      </c>
      <c r="W115" s="7" t="e">
        <f>W116+W123+W125+W131+W134+#REF!</f>
        <v>#REF!</v>
      </c>
      <c r="X115" s="7" t="e">
        <f>X116+X123+X125+X131+X134+#REF!</f>
        <v>#REF!</v>
      </c>
      <c r="Y115" s="7" t="e">
        <f>Y116+Y123+Y125+Y131+Y134+#REF!</f>
        <v>#REF!</v>
      </c>
      <c r="Z115" s="7" t="e">
        <f>Z116+Z123+Z125+Z131+Z134+#REF!</f>
        <v>#REF!</v>
      </c>
      <c r="AA115" s="7" t="e">
        <f>AA116+AA123+AA125+AA131+AA134+#REF!</f>
        <v>#REF!</v>
      </c>
      <c r="AB115" s="7" t="e">
        <f>AB116+AB123+AB125+AB131+AB134+#REF!</f>
        <v>#REF!</v>
      </c>
      <c r="AC115" s="34" t="e">
        <f>AC116+AC123+AC125+AC131+AC134+#REF!</f>
        <v>#REF!</v>
      </c>
    </row>
    <row r="116" spans="1:29" ht="15" x14ac:dyDescent="0.2">
      <c r="A116" s="127"/>
      <c r="B116" s="155" t="s">
        <v>133</v>
      </c>
      <c r="C116" s="156"/>
      <c r="D116" s="157" t="s">
        <v>134</v>
      </c>
      <c r="E116" s="158">
        <f>E117+E118+E120+E121+E122+E119</f>
        <v>136098.16999999998</v>
      </c>
      <c r="F116" s="158">
        <f t="shared" ref="F116:I116" si="58">F117+F118+F120+F121+F122+F119</f>
        <v>211450.36000000002</v>
      </c>
      <c r="G116" s="159">
        <f>F116/E116</f>
        <v>1.5536605672214405</v>
      </c>
      <c r="H116" s="158">
        <f t="shared" si="58"/>
        <v>218092.26</v>
      </c>
      <c r="I116" s="158">
        <f t="shared" si="58"/>
        <v>38500</v>
      </c>
      <c r="J116" s="159">
        <f>I116/E116</f>
        <v>0.28288403877877272</v>
      </c>
      <c r="K116" s="114" t="e">
        <f t="shared" si="46"/>
        <v>#REF!</v>
      </c>
      <c r="L116" s="77" t="e">
        <f>L118+#REF!+L120+#REF!</f>
        <v>#REF!</v>
      </c>
      <c r="M116" s="77" t="e">
        <f>M118+#REF!+#REF!+M120+M117+#REF!</f>
        <v>#REF!</v>
      </c>
      <c r="N116" s="77" t="e">
        <f>N118+#REF!+#REF!+N120+N117</f>
        <v>#REF!</v>
      </c>
      <c r="O116" s="77" t="e">
        <f>O118+#REF!+#REF!+O120+O117</f>
        <v>#REF!</v>
      </c>
      <c r="P116" s="77" t="e">
        <f>P118+#REF!+#REF!+P120+P117</f>
        <v>#REF!</v>
      </c>
      <c r="Q116" s="77" t="e">
        <f>Q118+#REF!+#REF!+Q120+Q117</f>
        <v>#REF!</v>
      </c>
      <c r="R116" s="77" t="e">
        <f>R118+#REF!+#REF!+R120+R117</f>
        <v>#REF!</v>
      </c>
      <c r="S116" s="77" t="e">
        <f>S118+#REF!+#REF!+S120+S117</f>
        <v>#REF!</v>
      </c>
      <c r="T116" s="77" t="e">
        <f>T118+#REF!+#REF!+T120+T117</f>
        <v>#REF!</v>
      </c>
      <c r="U116" s="77" t="e">
        <f>U118+#REF!+#REF!+U120+U117</f>
        <v>#REF!</v>
      </c>
      <c r="V116" s="77" t="e">
        <f>V118+#REF!+#REF!+V120+V117</f>
        <v>#REF!</v>
      </c>
      <c r="W116" s="77" t="e">
        <f>W118+#REF!+#REF!+W120+W117</f>
        <v>#REF!</v>
      </c>
      <c r="X116" s="77" t="e">
        <f>X118+#REF!+#REF!+X120+X117</f>
        <v>#REF!</v>
      </c>
      <c r="Y116" s="77" t="e">
        <f>Y118+#REF!+#REF!+Y120+Y117</f>
        <v>#REF!</v>
      </c>
      <c r="Z116" s="77" t="e">
        <f>Z118+#REF!+#REF!+Z120+Z117</f>
        <v>#REF!</v>
      </c>
      <c r="AA116" s="77" t="e">
        <f>AA118+#REF!+#REF!+AA120+AA117</f>
        <v>#REF!</v>
      </c>
      <c r="AB116" s="77" t="e">
        <f>AB118+#REF!+#REF!+AB120+AB117</f>
        <v>#REF!</v>
      </c>
      <c r="AC116" s="77" t="e">
        <f>AC118+#REF!+#REF!+AC120+AC117</f>
        <v>#REF!</v>
      </c>
    </row>
    <row r="117" spans="1:29" s="68" customFormat="1" ht="22.5" x14ac:dyDescent="0.2">
      <c r="A117" s="130"/>
      <c r="B117" s="130"/>
      <c r="C117" s="63" t="s">
        <v>54</v>
      </c>
      <c r="D117" s="64" t="s">
        <v>55</v>
      </c>
      <c r="E117" s="62">
        <v>0</v>
      </c>
      <c r="F117" s="66">
        <v>866.5</v>
      </c>
      <c r="G117" s="67">
        <v>0</v>
      </c>
      <c r="H117" s="66">
        <v>866.5</v>
      </c>
      <c r="I117" s="66">
        <v>0</v>
      </c>
      <c r="J117" s="129">
        <v>0</v>
      </c>
      <c r="K117" s="121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ht="67.5" x14ac:dyDescent="0.2">
      <c r="A118" s="128"/>
      <c r="B118" s="128"/>
      <c r="C118" s="128" t="s">
        <v>14</v>
      </c>
      <c r="D118" s="137" t="s">
        <v>15</v>
      </c>
      <c r="E118" s="62">
        <v>48500</v>
      </c>
      <c r="F118" s="138">
        <v>19925.689999999999</v>
      </c>
      <c r="G118" s="67">
        <f t="shared" si="45"/>
        <v>0.41083896907216494</v>
      </c>
      <c r="H118" s="138">
        <v>26567.59</v>
      </c>
      <c r="I118" s="138">
        <v>38500</v>
      </c>
      <c r="J118" s="129">
        <f t="shared" si="49"/>
        <v>0.79381443298969068</v>
      </c>
      <c r="K118" s="122">
        <f t="shared" si="46"/>
        <v>48500</v>
      </c>
      <c r="L118" s="61">
        <f>SUM(M118:Q118)</f>
        <v>0</v>
      </c>
      <c r="M118" s="61"/>
      <c r="N118" s="61"/>
      <c r="O118" s="61"/>
      <c r="P118" s="61"/>
      <c r="Q118" s="61"/>
      <c r="R118" s="61"/>
      <c r="S118" s="61">
        <f>SUM(T118:AC118)</f>
        <v>48500</v>
      </c>
      <c r="T118" s="83">
        <v>7000</v>
      </c>
      <c r="U118" s="83">
        <v>23000</v>
      </c>
      <c r="V118" s="61"/>
      <c r="W118" s="83">
        <v>11000</v>
      </c>
      <c r="X118" s="83">
        <v>7500</v>
      </c>
      <c r="Y118" s="61"/>
      <c r="Z118" s="61"/>
      <c r="AA118" s="61"/>
      <c r="AB118" s="61"/>
      <c r="AC118" s="61"/>
    </row>
    <row r="119" spans="1:29" s="74" customFormat="1" x14ac:dyDescent="0.2">
      <c r="A119" s="128"/>
      <c r="B119" s="128"/>
      <c r="C119" s="128" t="s">
        <v>121</v>
      </c>
      <c r="D119" s="137" t="s">
        <v>122</v>
      </c>
      <c r="E119" s="62">
        <v>0</v>
      </c>
      <c r="F119" s="138">
        <v>100</v>
      </c>
      <c r="G119" s="67">
        <v>0</v>
      </c>
      <c r="H119" s="138">
        <v>100</v>
      </c>
      <c r="I119" s="138">
        <v>0</v>
      </c>
      <c r="J119" s="129">
        <v>0</v>
      </c>
      <c r="K119" s="122"/>
      <c r="L119" s="61"/>
      <c r="M119" s="61"/>
      <c r="N119" s="61"/>
      <c r="O119" s="61"/>
      <c r="P119" s="61"/>
      <c r="Q119" s="61"/>
      <c r="R119" s="61"/>
      <c r="S119" s="61"/>
      <c r="T119" s="83"/>
      <c r="U119" s="83"/>
      <c r="V119" s="61"/>
      <c r="W119" s="83"/>
      <c r="X119" s="83"/>
      <c r="Y119" s="61"/>
      <c r="Z119" s="61"/>
      <c r="AA119" s="61"/>
      <c r="AB119" s="61"/>
      <c r="AC119" s="61"/>
    </row>
    <row r="120" spans="1:29" ht="45" x14ac:dyDescent="0.2">
      <c r="A120" s="128"/>
      <c r="B120" s="128"/>
      <c r="C120" s="128" t="s">
        <v>123</v>
      </c>
      <c r="D120" s="137" t="s">
        <v>124</v>
      </c>
      <c r="E120" s="62">
        <v>8000</v>
      </c>
      <c r="F120" s="138">
        <v>8000</v>
      </c>
      <c r="G120" s="67">
        <f>F120/E120</f>
        <v>1</v>
      </c>
      <c r="H120" s="138">
        <v>8000</v>
      </c>
      <c r="I120" s="138">
        <v>0</v>
      </c>
      <c r="J120" s="129">
        <v>0</v>
      </c>
      <c r="K120" s="106">
        <f t="shared" si="46"/>
        <v>0</v>
      </c>
      <c r="L120" s="31">
        <f>SUM(M120:Q120)</f>
        <v>0</v>
      </c>
      <c r="M120" s="31"/>
      <c r="N120" s="31"/>
      <c r="O120" s="31"/>
      <c r="P120" s="31"/>
      <c r="Q120" s="31"/>
      <c r="R120" s="31"/>
      <c r="S120" s="31">
        <f>SUM(T120:AC120)</f>
        <v>0</v>
      </c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s="74" customFormat="1" ht="78.75" x14ac:dyDescent="0.2">
      <c r="A121" s="128"/>
      <c r="B121" s="128"/>
      <c r="C121" s="128" t="s">
        <v>150</v>
      </c>
      <c r="D121" s="137" t="s">
        <v>309</v>
      </c>
      <c r="E121" s="62">
        <v>67363.929999999993</v>
      </c>
      <c r="F121" s="138">
        <v>154498.98000000001</v>
      </c>
      <c r="G121" s="67">
        <f>F121/E121</f>
        <v>2.2934971282108991</v>
      </c>
      <c r="H121" s="138">
        <v>154498.98000000001</v>
      </c>
      <c r="I121" s="138">
        <v>0</v>
      </c>
      <c r="J121" s="129">
        <v>0</v>
      </c>
      <c r="K121" s="106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3"/>
    </row>
    <row r="122" spans="1:29" s="74" customFormat="1" ht="78.75" x14ac:dyDescent="0.2">
      <c r="A122" s="128"/>
      <c r="B122" s="128"/>
      <c r="C122" s="128" t="s">
        <v>151</v>
      </c>
      <c r="D122" s="137" t="s">
        <v>309</v>
      </c>
      <c r="E122" s="62">
        <v>12234.24</v>
      </c>
      <c r="F122" s="138">
        <v>28059.19</v>
      </c>
      <c r="G122" s="67">
        <f>F122/E122</f>
        <v>2.2934967762607239</v>
      </c>
      <c r="H122" s="138">
        <v>28059.19</v>
      </c>
      <c r="I122" s="138">
        <v>0</v>
      </c>
      <c r="J122" s="129">
        <v>0</v>
      </c>
      <c r="K122" s="106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3"/>
    </row>
    <row r="123" spans="1:29" ht="22.5" x14ac:dyDescent="0.2">
      <c r="A123" s="127"/>
      <c r="B123" s="155" t="s">
        <v>135</v>
      </c>
      <c r="C123" s="156"/>
      <c r="D123" s="157" t="s">
        <v>136</v>
      </c>
      <c r="E123" s="158">
        <f>E124</f>
        <v>63121</v>
      </c>
      <c r="F123" s="158">
        <f t="shared" ref="F123:I123" si="59">F124</f>
        <v>47340</v>
      </c>
      <c r="G123" s="159">
        <f>F123/E123</f>
        <v>0.74998811805896615</v>
      </c>
      <c r="H123" s="158">
        <f t="shared" si="59"/>
        <v>63121</v>
      </c>
      <c r="I123" s="158">
        <f t="shared" si="59"/>
        <v>73550</v>
      </c>
      <c r="J123" s="159">
        <f>I123/H123</f>
        <v>1.1652223507232142</v>
      </c>
      <c r="K123" s="114" t="e">
        <f t="shared" si="46"/>
        <v>#REF!</v>
      </c>
      <c r="L123" s="55" t="e">
        <f>#REF!+L124</f>
        <v>#REF!</v>
      </c>
      <c r="M123" s="54" t="e">
        <f>#REF!+M124</f>
        <v>#REF!</v>
      </c>
      <c r="N123" s="54" t="e">
        <f>#REF!+N124</f>
        <v>#REF!</v>
      </c>
      <c r="O123" s="54" t="e">
        <f>#REF!+O124</f>
        <v>#REF!</v>
      </c>
      <c r="P123" s="54" t="e">
        <f>#REF!+P124</f>
        <v>#REF!</v>
      </c>
      <c r="Q123" s="54" t="e">
        <f>#REF!+Q124</f>
        <v>#REF!</v>
      </c>
      <c r="R123" s="54" t="e">
        <f>#REF!+R124</f>
        <v>#REF!</v>
      </c>
      <c r="S123" s="54" t="e">
        <f>#REF!+S124</f>
        <v>#REF!</v>
      </c>
      <c r="T123" s="54" t="e">
        <f>#REF!+T124</f>
        <v>#REF!</v>
      </c>
      <c r="U123" s="54" t="e">
        <f>#REF!+U124</f>
        <v>#REF!</v>
      </c>
      <c r="V123" s="54" t="e">
        <f>#REF!+V124</f>
        <v>#REF!</v>
      </c>
      <c r="W123" s="54" t="e">
        <f>#REF!+W124</f>
        <v>#REF!</v>
      </c>
      <c r="X123" s="54" t="e">
        <f>#REF!+X124</f>
        <v>#REF!</v>
      </c>
      <c r="Y123" s="54" t="e">
        <f>#REF!+Y124</f>
        <v>#REF!</v>
      </c>
      <c r="Z123" s="54" t="e">
        <f>#REF!+Z124</f>
        <v>#REF!</v>
      </c>
      <c r="AA123" s="54" t="e">
        <f>#REF!+AA124</f>
        <v>#REF!</v>
      </c>
      <c r="AB123" s="54" t="e">
        <f>#REF!+AB124</f>
        <v>#REF!</v>
      </c>
      <c r="AC123" s="56" t="e">
        <f>#REF!+AC124</f>
        <v>#REF!</v>
      </c>
    </row>
    <row r="124" spans="1:29" ht="45" x14ac:dyDescent="0.2">
      <c r="A124" s="128"/>
      <c r="B124" s="128"/>
      <c r="C124" s="128" t="s">
        <v>123</v>
      </c>
      <c r="D124" s="137" t="s">
        <v>124</v>
      </c>
      <c r="E124" s="62">
        <v>63121</v>
      </c>
      <c r="F124" s="65">
        <v>47340</v>
      </c>
      <c r="G124" s="50">
        <f t="shared" si="45"/>
        <v>0.74998811805896615</v>
      </c>
      <c r="H124" s="65">
        <v>63121</v>
      </c>
      <c r="I124" s="65">
        <v>73550</v>
      </c>
      <c r="J124" s="129">
        <f t="shared" si="49"/>
        <v>1.1652223507232142</v>
      </c>
      <c r="K124" s="106">
        <f t="shared" si="46"/>
        <v>63228</v>
      </c>
      <c r="L124" s="31">
        <f>SUM(M124:Q124)</f>
        <v>63228</v>
      </c>
      <c r="M124" s="82">
        <v>63228</v>
      </c>
      <c r="N124" s="31"/>
      <c r="O124" s="31"/>
      <c r="P124" s="31"/>
      <c r="Q124" s="31"/>
      <c r="R124" s="31"/>
      <c r="S124" s="31">
        <f>SUM(T124:AC124)</f>
        <v>0</v>
      </c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15" x14ac:dyDescent="0.2">
      <c r="A125" s="127"/>
      <c r="B125" s="155" t="s">
        <v>137</v>
      </c>
      <c r="C125" s="156"/>
      <c r="D125" s="157" t="s">
        <v>138</v>
      </c>
      <c r="E125" s="158">
        <f>E126+E127+E128+E129+E130</f>
        <v>1157644</v>
      </c>
      <c r="F125" s="158">
        <f>F126+F127+F128+F129+F130</f>
        <v>603957.18000000005</v>
      </c>
      <c r="G125" s="159">
        <f t="shared" si="45"/>
        <v>0.52171235716679742</v>
      </c>
      <c r="H125" s="158">
        <f>H126+H127+H128+H129+H130</f>
        <v>805276.23999999987</v>
      </c>
      <c r="I125" s="158">
        <f>I126+I127+I128+I129+I130</f>
        <v>1206641</v>
      </c>
      <c r="J125" s="160">
        <f t="shared" si="49"/>
        <v>1.0423247561426483</v>
      </c>
      <c r="K125" s="114" t="e">
        <f t="shared" si="46"/>
        <v>#REF!</v>
      </c>
      <c r="L125" s="44" t="e">
        <f>L126+L127+L128+L129+#REF!</f>
        <v>#REF!</v>
      </c>
      <c r="M125" s="8" t="e">
        <f>M126+M127+M128+M129+#REF!</f>
        <v>#REF!</v>
      </c>
      <c r="N125" s="8" t="e">
        <f>N126+N127+N128+N129+#REF!</f>
        <v>#REF!</v>
      </c>
      <c r="O125" s="8" t="e">
        <f>O126+O127+O128+O129+#REF!</f>
        <v>#REF!</v>
      </c>
      <c r="P125" s="8" t="e">
        <f>P126+P127+P128+P129+#REF!</f>
        <v>#REF!</v>
      </c>
      <c r="Q125" s="8" t="e">
        <f>Q126+Q127+Q128+Q129+#REF!</f>
        <v>#REF!</v>
      </c>
      <c r="R125" s="8" t="e">
        <f>R126+R127+R128+R129+#REF!</f>
        <v>#REF!</v>
      </c>
      <c r="S125" s="8" t="e">
        <f>S126+S127+S128+S129+#REF!</f>
        <v>#REF!</v>
      </c>
      <c r="T125" s="8" t="e">
        <f>T126+T127+T128+T129+#REF!</f>
        <v>#REF!</v>
      </c>
      <c r="U125" s="8" t="e">
        <f>U126+U127+U128+U129+#REF!</f>
        <v>#REF!</v>
      </c>
      <c r="V125" s="8" t="e">
        <f>V126+V127+V128+V129+#REF!</f>
        <v>#REF!</v>
      </c>
      <c r="W125" s="8" t="e">
        <f>W126+W127+W128+W129+#REF!</f>
        <v>#REF!</v>
      </c>
      <c r="X125" s="8" t="e">
        <f>X126+X127+X128+X129+#REF!</f>
        <v>#REF!</v>
      </c>
      <c r="Y125" s="8" t="e">
        <f>Y126+Y127+Y128+Y129+#REF!</f>
        <v>#REF!</v>
      </c>
      <c r="Z125" s="8" t="e">
        <f>Z126+Z127+Z128+Z129+#REF!</f>
        <v>#REF!</v>
      </c>
      <c r="AA125" s="8" t="e">
        <f>AA126+AA127+AA128+AA129+#REF!</f>
        <v>#REF!</v>
      </c>
      <c r="AB125" s="8" t="e">
        <f>AB126+AB127+AB128+AB129+#REF!</f>
        <v>#REF!</v>
      </c>
      <c r="AC125" s="35" t="e">
        <f>AC126+AC127+AC128+AC129+#REF!</f>
        <v>#REF!</v>
      </c>
    </row>
    <row r="126" spans="1:29" ht="22.5" x14ac:dyDescent="0.2">
      <c r="A126" s="128"/>
      <c r="B126" s="128"/>
      <c r="C126" s="128" t="s">
        <v>139</v>
      </c>
      <c r="D126" s="137" t="s">
        <v>140</v>
      </c>
      <c r="E126" s="62">
        <v>95260</v>
      </c>
      <c r="F126" s="65">
        <v>32555</v>
      </c>
      <c r="G126" s="50">
        <f t="shared" si="45"/>
        <v>0.34174889775351669</v>
      </c>
      <c r="H126" s="65">
        <v>43406.67</v>
      </c>
      <c r="I126" s="65">
        <v>95260</v>
      </c>
      <c r="J126" s="129">
        <f t="shared" si="49"/>
        <v>1</v>
      </c>
      <c r="K126" s="106">
        <f t="shared" si="46"/>
        <v>95260</v>
      </c>
      <c r="L126" s="31">
        <f>SUM(M126:Q126)</f>
        <v>0</v>
      </c>
      <c r="M126" s="31"/>
      <c r="N126" s="31"/>
      <c r="O126" s="31"/>
      <c r="P126" s="31"/>
      <c r="Q126" s="31"/>
      <c r="R126" s="31"/>
      <c r="S126" s="31">
        <f>SUM(T126:AC126)</f>
        <v>95260</v>
      </c>
      <c r="T126" s="31"/>
      <c r="U126" s="31"/>
      <c r="V126" s="31"/>
      <c r="W126" s="31"/>
      <c r="X126" s="31"/>
      <c r="Y126" s="31"/>
      <c r="Z126" s="82">
        <v>30000</v>
      </c>
      <c r="AA126" s="82">
        <v>30000</v>
      </c>
      <c r="AB126" s="82">
        <v>35260</v>
      </c>
      <c r="AC126" s="31"/>
    </row>
    <row r="127" spans="1:29" ht="45" x14ac:dyDescent="0.2">
      <c r="A127" s="128"/>
      <c r="B127" s="128"/>
      <c r="C127" s="128" t="s">
        <v>141</v>
      </c>
      <c r="D127" s="137" t="s">
        <v>142</v>
      </c>
      <c r="E127" s="62">
        <v>490430</v>
      </c>
      <c r="F127" s="65">
        <v>146157</v>
      </c>
      <c r="G127" s="50">
        <f t="shared" si="45"/>
        <v>0.29801806577901024</v>
      </c>
      <c r="H127" s="65">
        <v>194876</v>
      </c>
      <c r="I127" s="65">
        <v>490430</v>
      </c>
      <c r="J127" s="129">
        <f t="shared" si="49"/>
        <v>1</v>
      </c>
      <c r="K127" s="106">
        <f t="shared" si="46"/>
        <v>490430</v>
      </c>
      <c r="L127" s="31">
        <f>SUM(M127:Q127)</f>
        <v>0</v>
      </c>
      <c r="M127" s="31"/>
      <c r="N127" s="31"/>
      <c r="O127" s="31"/>
      <c r="P127" s="31"/>
      <c r="Q127" s="31"/>
      <c r="R127" s="31"/>
      <c r="S127" s="31">
        <f>SUM(T127:AC127)</f>
        <v>490430</v>
      </c>
      <c r="T127" s="31"/>
      <c r="U127" s="31"/>
      <c r="V127" s="31"/>
      <c r="W127" s="31"/>
      <c r="X127" s="31"/>
      <c r="Y127" s="31"/>
      <c r="Z127" s="82">
        <v>184000</v>
      </c>
      <c r="AA127" s="82">
        <v>184000</v>
      </c>
      <c r="AB127" s="82">
        <v>122430</v>
      </c>
      <c r="AC127" s="31"/>
    </row>
    <row r="128" spans="1:29" ht="67.5" x14ac:dyDescent="0.2">
      <c r="A128" s="128"/>
      <c r="B128" s="128"/>
      <c r="C128" s="128" t="s">
        <v>14</v>
      </c>
      <c r="D128" s="137" t="s">
        <v>15</v>
      </c>
      <c r="E128" s="62">
        <v>8290</v>
      </c>
      <c r="F128" s="65">
        <v>5164.87</v>
      </c>
      <c r="G128" s="50">
        <f t="shared" si="45"/>
        <v>0.6230241254523522</v>
      </c>
      <c r="H128" s="65">
        <v>6886.49</v>
      </c>
      <c r="I128" s="65">
        <v>15790</v>
      </c>
      <c r="J128" s="129">
        <f t="shared" si="49"/>
        <v>1.9047044632086851</v>
      </c>
      <c r="K128" s="106">
        <f t="shared" si="46"/>
        <v>8290</v>
      </c>
      <c r="L128" s="31">
        <f>SUM(M128:Q128)</f>
        <v>0</v>
      </c>
      <c r="M128" s="31"/>
      <c r="N128" s="31"/>
      <c r="O128" s="31"/>
      <c r="P128" s="31"/>
      <c r="Q128" s="31"/>
      <c r="R128" s="31"/>
      <c r="S128" s="31">
        <f>SUM(T128:AC128)</f>
        <v>8290</v>
      </c>
      <c r="T128" s="31"/>
      <c r="U128" s="31"/>
      <c r="V128" s="31"/>
      <c r="W128" s="31"/>
      <c r="X128" s="31"/>
      <c r="Y128" s="31"/>
      <c r="Z128" s="82">
        <v>4000</v>
      </c>
      <c r="AA128" s="82">
        <v>1440</v>
      </c>
      <c r="AB128" s="82">
        <v>2850</v>
      </c>
      <c r="AC128" s="31"/>
    </row>
    <row r="129" spans="1:29" ht="45" x14ac:dyDescent="0.2">
      <c r="A129" s="128"/>
      <c r="B129" s="128"/>
      <c r="C129" s="128" t="s">
        <v>123</v>
      </c>
      <c r="D129" s="137" t="s">
        <v>124</v>
      </c>
      <c r="E129" s="62">
        <v>533664</v>
      </c>
      <c r="F129" s="65">
        <v>400248</v>
      </c>
      <c r="G129" s="50">
        <f t="shared" si="45"/>
        <v>0.75</v>
      </c>
      <c r="H129" s="65">
        <v>533664</v>
      </c>
      <c r="I129" s="65">
        <v>575161</v>
      </c>
      <c r="J129" s="129">
        <f t="shared" si="49"/>
        <v>1.0777586646279307</v>
      </c>
      <c r="K129" s="106">
        <f t="shared" si="46"/>
        <v>534564</v>
      </c>
      <c r="L129" s="31">
        <f>SUM(M129:Q129)</f>
        <v>534564</v>
      </c>
      <c r="M129" s="82">
        <v>534564</v>
      </c>
      <c r="N129" s="31"/>
      <c r="O129" s="31"/>
      <c r="P129" s="31"/>
      <c r="Q129" s="31"/>
      <c r="R129" s="31"/>
      <c r="S129" s="31">
        <f>SUM(T129:AC129)</f>
        <v>0</v>
      </c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s="74" customFormat="1" ht="51.75" customHeight="1" x14ac:dyDescent="0.2">
      <c r="A130" s="128"/>
      <c r="B130" s="128"/>
      <c r="C130" s="128" t="s">
        <v>143</v>
      </c>
      <c r="D130" s="137" t="s">
        <v>310</v>
      </c>
      <c r="E130" s="62">
        <v>30000</v>
      </c>
      <c r="F130" s="65">
        <v>19832.310000000001</v>
      </c>
      <c r="G130" s="50">
        <f t="shared" si="45"/>
        <v>0.66107700000000003</v>
      </c>
      <c r="H130" s="65">
        <v>26443.08</v>
      </c>
      <c r="I130" s="65">
        <v>30000</v>
      </c>
      <c r="J130" s="129">
        <f t="shared" si="49"/>
        <v>1</v>
      </c>
      <c r="K130" s="106"/>
      <c r="L130" s="132"/>
      <c r="M130" s="134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3"/>
    </row>
    <row r="131" spans="1:29" ht="15" x14ac:dyDescent="0.2">
      <c r="A131" s="127"/>
      <c r="B131" s="155" t="s">
        <v>144</v>
      </c>
      <c r="C131" s="156"/>
      <c r="D131" s="157" t="s">
        <v>145</v>
      </c>
      <c r="E131" s="158">
        <f>E132+E133</f>
        <v>316000</v>
      </c>
      <c r="F131" s="158">
        <f t="shared" ref="F131:AC131" si="60">F132+F133</f>
        <v>85820</v>
      </c>
      <c r="G131" s="159">
        <f t="shared" si="45"/>
        <v>0.27158227848101268</v>
      </c>
      <c r="H131" s="158">
        <f t="shared" si="60"/>
        <v>114426.6</v>
      </c>
      <c r="I131" s="158">
        <f t="shared" si="60"/>
        <v>316200</v>
      </c>
      <c r="J131" s="160">
        <f t="shared" si="49"/>
        <v>1.0006329113924051</v>
      </c>
      <c r="K131" s="114">
        <f t="shared" si="46"/>
        <v>316000</v>
      </c>
      <c r="L131" s="44">
        <f t="shared" si="60"/>
        <v>0</v>
      </c>
      <c r="M131" s="8">
        <f t="shared" si="60"/>
        <v>0</v>
      </c>
      <c r="N131" s="8">
        <f t="shared" si="60"/>
        <v>0</v>
      </c>
      <c r="O131" s="8">
        <f t="shared" si="60"/>
        <v>0</v>
      </c>
      <c r="P131" s="8">
        <f t="shared" si="60"/>
        <v>0</v>
      </c>
      <c r="Q131" s="8">
        <f t="shared" si="60"/>
        <v>0</v>
      </c>
      <c r="R131" s="8">
        <f t="shared" si="60"/>
        <v>0</v>
      </c>
      <c r="S131" s="8">
        <f t="shared" si="60"/>
        <v>316000</v>
      </c>
      <c r="T131" s="8">
        <f t="shared" si="60"/>
        <v>105400</v>
      </c>
      <c r="U131" s="8">
        <f t="shared" si="60"/>
        <v>210600</v>
      </c>
      <c r="V131" s="8">
        <f t="shared" si="60"/>
        <v>0</v>
      </c>
      <c r="W131" s="8">
        <f t="shared" si="60"/>
        <v>0</v>
      </c>
      <c r="X131" s="8">
        <f t="shared" si="60"/>
        <v>0</v>
      </c>
      <c r="Y131" s="8">
        <f t="shared" si="60"/>
        <v>0</v>
      </c>
      <c r="Z131" s="8">
        <f t="shared" si="60"/>
        <v>0</v>
      </c>
      <c r="AA131" s="8">
        <f t="shared" si="60"/>
        <v>0</v>
      </c>
      <c r="AB131" s="8">
        <f t="shared" si="60"/>
        <v>0</v>
      </c>
      <c r="AC131" s="35">
        <f t="shared" si="60"/>
        <v>0</v>
      </c>
    </row>
    <row r="132" spans="1:29" x14ac:dyDescent="0.2">
      <c r="A132" s="128"/>
      <c r="B132" s="128"/>
      <c r="C132" s="128" t="s">
        <v>66</v>
      </c>
      <c r="D132" s="137" t="s">
        <v>67</v>
      </c>
      <c r="E132" s="62">
        <v>298000</v>
      </c>
      <c r="F132" s="65">
        <v>72320</v>
      </c>
      <c r="G132" s="50">
        <f t="shared" si="45"/>
        <v>0.24268456375838926</v>
      </c>
      <c r="H132" s="65">
        <v>96426.6</v>
      </c>
      <c r="I132" s="65">
        <v>298200</v>
      </c>
      <c r="J132" s="129">
        <f t="shared" si="49"/>
        <v>1.0006711409395974</v>
      </c>
      <c r="K132" s="39">
        <f t="shared" si="46"/>
        <v>298000</v>
      </c>
      <c r="L132" s="31">
        <f>SUM(M132:Q132)</f>
        <v>0</v>
      </c>
      <c r="M132" s="31"/>
      <c r="N132" s="31"/>
      <c r="O132" s="31"/>
      <c r="P132" s="31"/>
      <c r="Q132" s="31"/>
      <c r="R132" s="31"/>
      <c r="S132" s="31">
        <f>SUM(T132:AC132)</f>
        <v>298000</v>
      </c>
      <c r="T132" s="82">
        <v>100000</v>
      </c>
      <c r="U132" s="82">
        <v>198000</v>
      </c>
      <c r="V132" s="31"/>
      <c r="W132" s="31"/>
      <c r="X132" s="31"/>
      <c r="Y132" s="31"/>
      <c r="Z132" s="31"/>
      <c r="AA132" s="31"/>
      <c r="AB132" s="31"/>
      <c r="AC132" s="31"/>
    </row>
    <row r="133" spans="1:29" ht="56.25" x14ac:dyDescent="0.2">
      <c r="A133" s="128"/>
      <c r="B133" s="128"/>
      <c r="C133" s="128" t="s">
        <v>146</v>
      </c>
      <c r="D133" s="137" t="s">
        <v>147</v>
      </c>
      <c r="E133" s="62">
        <v>18000</v>
      </c>
      <c r="F133" s="65">
        <v>13500</v>
      </c>
      <c r="G133" s="50">
        <f t="shared" si="45"/>
        <v>0.75</v>
      </c>
      <c r="H133" s="65">
        <v>18000</v>
      </c>
      <c r="I133" s="65">
        <v>18000</v>
      </c>
      <c r="J133" s="129">
        <f t="shared" si="49"/>
        <v>1</v>
      </c>
      <c r="K133" s="106">
        <f t="shared" si="46"/>
        <v>18000</v>
      </c>
      <c r="L133" s="31">
        <f>SUM(M133:Q133)</f>
        <v>0</v>
      </c>
      <c r="M133" s="31"/>
      <c r="N133" s="31"/>
      <c r="O133" s="31"/>
      <c r="P133" s="31"/>
      <c r="Q133" s="31"/>
      <c r="R133" s="31"/>
      <c r="S133" s="31">
        <f>SUM(T133:AC133)</f>
        <v>18000</v>
      </c>
      <c r="T133" s="82">
        <v>5400</v>
      </c>
      <c r="U133" s="82">
        <v>12600</v>
      </c>
      <c r="V133" s="31"/>
      <c r="W133" s="31"/>
      <c r="X133" s="31"/>
      <c r="Y133" s="31"/>
      <c r="Z133" s="31"/>
      <c r="AA133" s="31"/>
      <c r="AB133" s="31"/>
      <c r="AC133" s="31"/>
    </row>
    <row r="134" spans="1:29" ht="45" x14ac:dyDescent="0.2">
      <c r="A134" s="127"/>
      <c r="B134" s="155" t="s">
        <v>148</v>
      </c>
      <c r="C134" s="156"/>
      <c r="D134" s="157" t="s">
        <v>149</v>
      </c>
      <c r="E134" s="158">
        <f>E135</f>
        <v>194204.05</v>
      </c>
      <c r="F134" s="158">
        <f t="shared" ref="F134:AC134" si="61">F135</f>
        <v>194204.05</v>
      </c>
      <c r="G134" s="159">
        <f t="shared" si="45"/>
        <v>1</v>
      </c>
      <c r="H134" s="158">
        <f t="shared" si="61"/>
        <v>194204.05</v>
      </c>
      <c r="I134" s="158">
        <f t="shared" si="61"/>
        <v>0</v>
      </c>
      <c r="J134" s="160">
        <f t="shared" si="49"/>
        <v>0</v>
      </c>
      <c r="K134" s="114">
        <f t="shared" si="46"/>
        <v>0</v>
      </c>
      <c r="L134" s="44">
        <f t="shared" si="61"/>
        <v>0</v>
      </c>
      <c r="M134" s="8">
        <f t="shared" si="61"/>
        <v>0</v>
      </c>
      <c r="N134" s="8">
        <f t="shared" si="61"/>
        <v>0</v>
      </c>
      <c r="O134" s="8">
        <f t="shared" si="61"/>
        <v>0</v>
      </c>
      <c r="P134" s="8">
        <f t="shared" si="61"/>
        <v>0</v>
      </c>
      <c r="Q134" s="8">
        <f t="shared" si="61"/>
        <v>0</v>
      </c>
      <c r="R134" s="8">
        <f t="shared" si="61"/>
        <v>0</v>
      </c>
      <c r="S134" s="8">
        <f t="shared" si="61"/>
        <v>0</v>
      </c>
      <c r="T134" s="8">
        <f t="shared" si="61"/>
        <v>0</v>
      </c>
      <c r="U134" s="8">
        <f t="shared" si="61"/>
        <v>0</v>
      </c>
      <c r="V134" s="8">
        <f t="shared" si="61"/>
        <v>0</v>
      </c>
      <c r="W134" s="8">
        <f t="shared" si="61"/>
        <v>0</v>
      </c>
      <c r="X134" s="8">
        <f t="shared" si="61"/>
        <v>0</v>
      </c>
      <c r="Y134" s="8">
        <f t="shared" si="61"/>
        <v>0</v>
      </c>
      <c r="Z134" s="8">
        <f t="shared" si="61"/>
        <v>0</v>
      </c>
      <c r="AA134" s="8">
        <f t="shared" si="61"/>
        <v>0</v>
      </c>
      <c r="AB134" s="8">
        <f t="shared" si="61"/>
        <v>0</v>
      </c>
      <c r="AC134" s="35">
        <f t="shared" si="61"/>
        <v>0</v>
      </c>
    </row>
    <row r="135" spans="1:29" ht="56.25" x14ac:dyDescent="0.2">
      <c r="A135" s="128"/>
      <c r="B135" s="128"/>
      <c r="C135" s="128" t="s">
        <v>16</v>
      </c>
      <c r="D135" s="137" t="s">
        <v>17</v>
      </c>
      <c r="E135" s="62">
        <v>194204.05</v>
      </c>
      <c r="F135" s="65">
        <v>194204.05</v>
      </c>
      <c r="G135" s="50">
        <f t="shared" si="45"/>
        <v>1</v>
      </c>
      <c r="H135" s="65">
        <v>194204.05</v>
      </c>
      <c r="I135" s="65">
        <v>0</v>
      </c>
      <c r="J135" s="129">
        <f t="shared" si="49"/>
        <v>0</v>
      </c>
      <c r="K135" s="39">
        <f t="shared" si="46"/>
        <v>0</v>
      </c>
      <c r="L135" s="31">
        <f>SUM(M135:Q135)</f>
        <v>0</v>
      </c>
      <c r="M135" s="31"/>
      <c r="N135" s="31"/>
      <c r="O135" s="31"/>
      <c r="P135" s="31"/>
      <c r="Q135" s="31"/>
      <c r="R135" s="31"/>
      <c r="S135" s="31">
        <f>SUM(T135:AC135)</f>
        <v>0</v>
      </c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s="38" customFormat="1" x14ac:dyDescent="0.2">
      <c r="A136" s="148" t="s">
        <v>221</v>
      </c>
      <c r="B136" s="148"/>
      <c r="C136" s="148"/>
      <c r="D136" s="145" t="s">
        <v>222</v>
      </c>
      <c r="E136" s="149">
        <f>E137</f>
        <v>5000</v>
      </c>
      <c r="F136" s="149">
        <f t="shared" ref="F136:J136" si="62">F137</f>
        <v>5000</v>
      </c>
      <c r="G136" s="150">
        <f>F136/E136</f>
        <v>1</v>
      </c>
      <c r="H136" s="149">
        <f t="shared" si="62"/>
        <v>5000</v>
      </c>
      <c r="I136" s="149">
        <f t="shared" si="62"/>
        <v>0</v>
      </c>
      <c r="J136" s="149">
        <f t="shared" si="62"/>
        <v>0</v>
      </c>
      <c r="K136" s="123" t="e">
        <f>#REF!</f>
        <v>#REF!</v>
      </c>
      <c r="L136" s="51" t="e">
        <f>#REF!</f>
        <v>#REF!</v>
      </c>
      <c r="M136" s="51" t="e">
        <f>#REF!</f>
        <v>#REF!</v>
      </c>
      <c r="N136" s="51" t="e">
        <f>#REF!</f>
        <v>#REF!</v>
      </c>
      <c r="O136" s="51" t="e">
        <f>#REF!</f>
        <v>#REF!</v>
      </c>
      <c r="P136" s="51" t="e">
        <f>#REF!</f>
        <v>#REF!</v>
      </c>
      <c r="Q136" s="51" t="e">
        <f>#REF!</f>
        <v>#REF!</v>
      </c>
      <c r="R136" s="51" t="e">
        <f>#REF!</f>
        <v>#REF!</v>
      </c>
      <c r="S136" s="51" t="e">
        <f>#REF!</f>
        <v>#REF!</v>
      </c>
      <c r="T136" s="51" t="e">
        <f>#REF!</f>
        <v>#REF!</v>
      </c>
      <c r="U136" s="51" t="e">
        <f>#REF!</f>
        <v>#REF!</v>
      </c>
      <c r="V136" s="51" t="e">
        <f>#REF!</f>
        <v>#REF!</v>
      </c>
      <c r="W136" s="51" t="e">
        <f>#REF!</f>
        <v>#REF!</v>
      </c>
      <c r="X136" s="51" t="e">
        <f>#REF!</f>
        <v>#REF!</v>
      </c>
      <c r="Y136" s="51" t="e">
        <f>#REF!</f>
        <v>#REF!</v>
      </c>
      <c r="Z136" s="51" t="e">
        <f>#REF!</f>
        <v>#REF!</v>
      </c>
      <c r="AA136" s="51" t="e">
        <f>#REF!</f>
        <v>#REF!</v>
      </c>
      <c r="AB136" s="51" t="e">
        <f>#REF!</f>
        <v>#REF!</v>
      </c>
      <c r="AC136" s="51" t="e">
        <f>#REF!</f>
        <v>#REF!</v>
      </c>
    </row>
    <row r="137" spans="1:29" s="74" customFormat="1" x14ac:dyDescent="0.2">
      <c r="A137" s="128"/>
      <c r="B137" s="155" t="s">
        <v>223</v>
      </c>
      <c r="C137" s="155"/>
      <c r="D137" s="157" t="s">
        <v>13</v>
      </c>
      <c r="E137" s="158">
        <f>E138</f>
        <v>5000</v>
      </c>
      <c r="F137" s="158">
        <f>F138</f>
        <v>5000</v>
      </c>
      <c r="G137" s="159">
        <f>F137/E137</f>
        <v>1</v>
      </c>
      <c r="H137" s="162">
        <f>H138</f>
        <v>5000</v>
      </c>
      <c r="I137" s="162">
        <f>I138</f>
        <v>0</v>
      </c>
      <c r="J137" s="160">
        <v>0</v>
      </c>
      <c r="K137" s="12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3"/>
    </row>
    <row r="138" spans="1:29" s="74" customFormat="1" ht="56.25" x14ac:dyDescent="0.2">
      <c r="A138" s="128"/>
      <c r="B138" s="128"/>
      <c r="C138" s="128" t="s">
        <v>16</v>
      </c>
      <c r="D138" s="137" t="s">
        <v>17</v>
      </c>
      <c r="E138" s="62">
        <v>5000</v>
      </c>
      <c r="F138" s="65">
        <v>5000</v>
      </c>
      <c r="G138" s="50">
        <f>F138/E138</f>
        <v>1</v>
      </c>
      <c r="H138" s="65">
        <v>5000</v>
      </c>
      <c r="I138" s="65">
        <v>0</v>
      </c>
      <c r="J138" s="129"/>
      <c r="K138" s="12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3"/>
    </row>
    <row r="139" spans="1:29" ht="26.25" customHeight="1" x14ac:dyDescent="0.2">
      <c r="A139" s="148" t="s">
        <v>152</v>
      </c>
      <c r="B139" s="148"/>
      <c r="C139" s="148"/>
      <c r="D139" s="145" t="s">
        <v>153</v>
      </c>
      <c r="E139" s="149">
        <f>E140+E142+E145+E148+E151+E153+E156+E160+E164+E166</f>
        <v>2237313.9</v>
      </c>
      <c r="F139" s="149">
        <f t="shared" ref="F139:I139" si="63">F140+F142+F145+F148+F151+F153+F156+F160+F164+F166</f>
        <v>1514123.6199999999</v>
      </c>
      <c r="G139" s="150">
        <f>F139/E139</f>
        <v>0.6767595821042367</v>
      </c>
      <c r="H139" s="149">
        <f t="shared" si="63"/>
        <v>2241342.3199999998</v>
      </c>
      <c r="I139" s="149">
        <f t="shared" si="63"/>
        <v>1806445.9</v>
      </c>
      <c r="J139" s="150">
        <f>I139/E139</f>
        <v>0.80741727837117538</v>
      </c>
      <c r="K139" s="115" t="e">
        <f t="shared" si="46"/>
        <v>#REF!</v>
      </c>
      <c r="L139" s="48" t="e">
        <f t="shared" ref="L139:AC139" si="64">L142+L145+L148+L151+L153+L156+L160+L164</f>
        <v>#REF!</v>
      </c>
      <c r="M139" s="47" t="e">
        <f t="shared" si="64"/>
        <v>#REF!</v>
      </c>
      <c r="N139" s="47" t="e">
        <f t="shared" si="64"/>
        <v>#REF!</v>
      </c>
      <c r="O139" s="47" t="e">
        <f t="shared" si="64"/>
        <v>#REF!</v>
      </c>
      <c r="P139" s="47" t="e">
        <f t="shared" si="64"/>
        <v>#REF!</v>
      </c>
      <c r="Q139" s="47" t="e">
        <f t="shared" si="64"/>
        <v>#REF!</v>
      </c>
      <c r="R139" s="47" t="e">
        <f t="shared" si="64"/>
        <v>#REF!</v>
      </c>
      <c r="S139" s="47" t="e">
        <f t="shared" si="64"/>
        <v>#REF!</v>
      </c>
      <c r="T139" s="47" t="e">
        <f t="shared" si="64"/>
        <v>#REF!</v>
      </c>
      <c r="U139" s="47" t="e">
        <f t="shared" si="64"/>
        <v>#REF!</v>
      </c>
      <c r="V139" s="47" t="e">
        <f t="shared" si="64"/>
        <v>#REF!</v>
      </c>
      <c r="W139" s="47" t="e">
        <f t="shared" si="64"/>
        <v>#REF!</v>
      </c>
      <c r="X139" s="47" t="e">
        <f t="shared" si="64"/>
        <v>#REF!</v>
      </c>
      <c r="Y139" s="47" t="e">
        <f t="shared" si="64"/>
        <v>#REF!</v>
      </c>
      <c r="Z139" s="47" t="e">
        <f t="shared" si="64"/>
        <v>#REF!</v>
      </c>
      <c r="AA139" s="47" t="e">
        <f t="shared" si="64"/>
        <v>#REF!</v>
      </c>
      <c r="AB139" s="47" t="e">
        <f t="shared" si="64"/>
        <v>#REF!</v>
      </c>
      <c r="AC139" s="49" t="e">
        <f t="shared" si="64"/>
        <v>#REF!</v>
      </c>
    </row>
    <row r="140" spans="1:29" s="74" customFormat="1" ht="26.25" customHeight="1" x14ac:dyDescent="0.2">
      <c r="A140" s="146"/>
      <c r="B140" s="155" t="s">
        <v>224</v>
      </c>
      <c r="C140" s="155"/>
      <c r="D140" s="157" t="s">
        <v>225</v>
      </c>
      <c r="E140" s="158">
        <f>E141</f>
        <v>0</v>
      </c>
      <c r="F140" s="158">
        <f>F141</f>
        <v>1264.55</v>
      </c>
      <c r="G140" s="159">
        <v>0</v>
      </c>
      <c r="H140" s="158">
        <f>H141</f>
        <v>1264.55</v>
      </c>
      <c r="I140" s="158">
        <f>I141</f>
        <v>0</v>
      </c>
      <c r="J140" s="160">
        <v>0</v>
      </c>
      <c r="K140" s="115"/>
      <c r="L140" s="48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9"/>
    </row>
    <row r="141" spans="1:29" s="74" customFormat="1" ht="26.25" customHeight="1" x14ac:dyDescent="0.2">
      <c r="A141" s="146"/>
      <c r="B141" s="128"/>
      <c r="C141" s="128" t="s">
        <v>121</v>
      </c>
      <c r="D141" s="137" t="s">
        <v>122</v>
      </c>
      <c r="E141" s="62">
        <v>0</v>
      </c>
      <c r="F141" s="62">
        <v>1264.55</v>
      </c>
      <c r="G141" s="50">
        <v>0</v>
      </c>
      <c r="H141" s="62">
        <v>1264.55</v>
      </c>
      <c r="I141" s="62">
        <v>0</v>
      </c>
      <c r="J141" s="129">
        <v>0</v>
      </c>
      <c r="K141" s="115"/>
      <c r="L141" s="48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9"/>
    </row>
    <row r="142" spans="1:29" ht="15" x14ac:dyDescent="0.2">
      <c r="A142" s="127"/>
      <c r="B142" s="155" t="s">
        <v>154</v>
      </c>
      <c r="C142" s="156"/>
      <c r="D142" s="157" t="s">
        <v>155</v>
      </c>
      <c r="E142" s="158">
        <f>E143+E144</f>
        <v>690284</v>
      </c>
      <c r="F142" s="158">
        <f t="shared" ref="F142:I142" si="65">F143+F144</f>
        <v>471418.87</v>
      </c>
      <c r="G142" s="159">
        <f>F142/E142</f>
        <v>0.68293466167548433</v>
      </c>
      <c r="H142" s="158">
        <f t="shared" si="65"/>
        <v>690305.87</v>
      </c>
      <c r="I142" s="158">
        <f t="shared" si="65"/>
        <v>706933</v>
      </c>
      <c r="J142" s="159">
        <f>I142/H142</f>
        <v>1.0240866125041064</v>
      </c>
      <c r="K142" s="114" t="e">
        <f t="shared" si="46"/>
        <v>#REF!</v>
      </c>
      <c r="L142" s="44" t="e">
        <f>L143+#REF!</f>
        <v>#REF!</v>
      </c>
      <c r="M142" s="8" t="e">
        <f>M143+#REF!</f>
        <v>#REF!</v>
      </c>
      <c r="N142" s="8" t="e">
        <f>N143+#REF!</f>
        <v>#REF!</v>
      </c>
      <c r="O142" s="8" t="e">
        <f>O143+#REF!</f>
        <v>#REF!</v>
      </c>
      <c r="P142" s="8" t="e">
        <f>P143+#REF!</f>
        <v>#REF!</v>
      </c>
      <c r="Q142" s="8" t="e">
        <f>Q143+#REF!</f>
        <v>#REF!</v>
      </c>
      <c r="R142" s="8" t="e">
        <f>R143+#REF!</f>
        <v>#REF!</v>
      </c>
      <c r="S142" s="8" t="e">
        <f>S143+#REF!</f>
        <v>#REF!</v>
      </c>
      <c r="T142" s="8" t="e">
        <f>T143+#REF!</f>
        <v>#REF!</v>
      </c>
      <c r="U142" s="8" t="e">
        <f>U143+#REF!</f>
        <v>#REF!</v>
      </c>
      <c r="V142" s="8" t="e">
        <f>V143+#REF!</f>
        <v>#REF!</v>
      </c>
      <c r="W142" s="8" t="e">
        <f>W143+#REF!</f>
        <v>#REF!</v>
      </c>
      <c r="X142" s="8" t="e">
        <f>X143+#REF!</f>
        <v>#REF!</v>
      </c>
      <c r="Y142" s="8" t="e">
        <f>Y143+#REF!</f>
        <v>#REF!</v>
      </c>
      <c r="Z142" s="8" t="e">
        <f>Z143+#REF!</f>
        <v>#REF!</v>
      </c>
      <c r="AA142" s="8" t="e">
        <f>AA143+#REF!</f>
        <v>#REF!</v>
      </c>
      <c r="AB142" s="8" t="e">
        <f>AB143+#REF!</f>
        <v>#REF!</v>
      </c>
      <c r="AC142" s="35" t="e">
        <f>AC143+#REF!</f>
        <v>#REF!</v>
      </c>
    </row>
    <row r="143" spans="1:29" ht="56.25" x14ac:dyDescent="0.2">
      <c r="A143" s="128"/>
      <c r="B143" s="128"/>
      <c r="C143" s="128" t="s">
        <v>16</v>
      </c>
      <c r="D143" s="137" t="s">
        <v>17</v>
      </c>
      <c r="E143" s="62">
        <v>689959</v>
      </c>
      <c r="F143" s="65">
        <v>471072</v>
      </c>
      <c r="G143" s="50">
        <f t="shared" si="45"/>
        <v>0.68275361289583869</v>
      </c>
      <c r="H143" s="65">
        <v>689959</v>
      </c>
      <c r="I143" s="65">
        <v>706608</v>
      </c>
      <c r="J143" s="129">
        <f t="shared" si="49"/>
        <v>1.0241304193437581</v>
      </c>
      <c r="K143" s="106">
        <f t="shared" si="46"/>
        <v>700299</v>
      </c>
      <c r="L143" s="31">
        <f>SUM(M143:Q143)</f>
        <v>700299</v>
      </c>
      <c r="M143" s="31">
        <v>700299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s="74" customFormat="1" ht="45" x14ac:dyDescent="0.2">
      <c r="A144" s="128"/>
      <c r="B144" s="128"/>
      <c r="C144" s="128" t="s">
        <v>170</v>
      </c>
      <c r="D144" s="137" t="s">
        <v>171</v>
      </c>
      <c r="E144" s="62">
        <v>325</v>
      </c>
      <c r="F144" s="62">
        <v>346.87</v>
      </c>
      <c r="G144" s="50">
        <v>0</v>
      </c>
      <c r="H144" s="65">
        <v>346.87</v>
      </c>
      <c r="I144" s="65">
        <v>325</v>
      </c>
      <c r="J144" s="129">
        <f>I144/E144</f>
        <v>1</v>
      </c>
      <c r="K144" s="39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67.5" x14ac:dyDescent="0.2">
      <c r="A145" s="127"/>
      <c r="B145" s="155" t="s">
        <v>156</v>
      </c>
      <c r="C145" s="156"/>
      <c r="D145" s="157" t="s">
        <v>157</v>
      </c>
      <c r="E145" s="158">
        <f>E146+E147</f>
        <v>53533</v>
      </c>
      <c r="F145" s="158">
        <f t="shared" ref="F145:I145" si="66">F146+F147</f>
        <v>38964.400000000001</v>
      </c>
      <c r="G145" s="159">
        <f>F145/E145</f>
        <v>0.72785758317299609</v>
      </c>
      <c r="H145" s="158">
        <f t="shared" si="66"/>
        <v>53402.2</v>
      </c>
      <c r="I145" s="158">
        <f t="shared" si="66"/>
        <v>51633</v>
      </c>
      <c r="J145" s="159">
        <f>I145/H145</f>
        <v>0.96687027875256082</v>
      </c>
      <c r="K145" s="114" t="e">
        <f t="shared" si="46"/>
        <v>#REF!</v>
      </c>
      <c r="L145" s="59" t="e">
        <f>#REF!+L147+#REF!+L146</f>
        <v>#REF!</v>
      </c>
      <c r="M145" s="58" t="e">
        <f>#REF!+M147+#REF!</f>
        <v>#REF!</v>
      </c>
      <c r="N145" s="58" t="e">
        <f>#REF!+N147+#REF!</f>
        <v>#REF!</v>
      </c>
      <c r="O145" s="58" t="e">
        <f>#REF!+O147+#REF!</f>
        <v>#REF!</v>
      </c>
      <c r="P145" s="58" t="e">
        <f>#REF!+P147+#REF!</f>
        <v>#REF!</v>
      </c>
      <c r="Q145" s="58" t="e">
        <f>#REF!+Q147+#REF!</f>
        <v>#REF!</v>
      </c>
      <c r="R145" s="58" t="e">
        <f>#REF!+R147+#REF!+R146</f>
        <v>#REF!</v>
      </c>
      <c r="S145" s="58" t="e">
        <f>#REF!+S147+#REF!</f>
        <v>#REF!</v>
      </c>
      <c r="T145" s="58" t="e">
        <f>#REF!+T147+#REF!</f>
        <v>#REF!</v>
      </c>
      <c r="U145" s="58" t="e">
        <f>#REF!+U147+#REF!</f>
        <v>#REF!</v>
      </c>
      <c r="V145" s="58" t="e">
        <f>#REF!+V147+#REF!</f>
        <v>#REF!</v>
      </c>
      <c r="W145" s="58" t="e">
        <f>#REF!+W147+#REF!</f>
        <v>#REF!</v>
      </c>
      <c r="X145" s="58" t="e">
        <f>#REF!+X147+#REF!</f>
        <v>#REF!</v>
      </c>
      <c r="Y145" s="58" t="e">
        <f>#REF!+Y147+#REF!</f>
        <v>#REF!</v>
      </c>
      <c r="Z145" s="58" t="e">
        <f>#REF!+Z147+#REF!</f>
        <v>#REF!</v>
      </c>
      <c r="AA145" s="58" t="e">
        <f>#REF!+AA147+#REF!</f>
        <v>#REF!</v>
      </c>
      <c r="AB145" s="58" t="e">
        <f>#REF!+AB147+#REF!</f>
        <v>#REF!</v>
      </c>
      <c r="AC145" s="60" t="e">
        <f>#REF!+AC147+#REF!</f>
        <v>#REF!</v>
      </c>
    </row>
    <row r="146" spans="1:29" s="68" customFormat="1" ht="11.25" x14ac:dyDescent="0.2">
      <c r="A146" s="130"/>
      <c r="B146" s="130"/>
      <c r="C146" s="63" t="s">
        <v>121</v>
      </c>
      <c r="D146" s="137" t="s">
        <v>122</v>
      </c>
      <c r="E146" s="62">
        <v>750</v>
      </c>
      <c r="F146" s="62">
        <v>464.4</v>
      </c>
      <c r="G146" s="50">
        <f>F146/E146</f>
        <v>0.61919999999999997</v>
      </c>
      <c r="H146" s="62">
        <v>619.20000000000005</v>
      </c>
      <c r="I146" s="62">
        <v>300</v>
      </c>
      <c r="J146" s="129">
        <v>0</v>
      </c>
      <c r="K146" s="73">
        <f>L146+R146</f>
        <v>250</v>
      </c>
      <c r="L146" s="62">
        <f>SUM(M146:Q146)</f>
        <v>0</v>
      </c>
      <c r="M146" s="62"/>
      <c r="N146" s="62"/>
      <c r="O146" s="62"/>
      <c r="P146" s="62"/>
      <c r="Q146" s="62"/>
      <c r="R146" s="85">
        <v>250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ht="45" x14ac:dyDescent="0.2">
      <c r="A147" s="128"/>
      <c r="B147" s="128"/>
      <c r="C147" s="128" t="s">
        <v>123</v>
      </c>
      <c r="D147" s="137" t="s">
        <v>124</v>
      </c>
      <c r="E147" s="62">
        <v>52783</v>
      </c>
      <c r="F147" s="65">
        <v>38500</v>
      </c>
      <c r="G147" s="50">
        <f t="shared" si="45"/>
        <v>0.72940151185040636</v>
      </c>
      <c r="H147" s="65">
        <v>52783</v>
      </c>
      <c r="I147" s="65">
        <v>51333</v>
      </c>
      <c r="J147" s="129">
        <f t="shared" si="49"/>
        <v>0.97252903396927037</v>
      </c>
      <c r="K147" s="39">
        <f t="shared" si="46"/>
        <v>52783</v>
      </c>
      <c r="L147" s="31">
        <f>SUM(M147:Q147)</f>
        <v>52783</v>
      </c>
      <c r="M147" s="82">
        <v>52783</v>
      </c>
      <c r="N147" s="31"/>
      <c r="O147" s="31"/>
      <c r="P147" s="31"/>
      <c r="Q147" s="31"/>
      <c r="R147" s="31"/>
      <c r="S147" s="31">
        <f>SUM(T147:AC147)</f>
        <v>0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33.75" x14ac:dyDescent="0.2">
      <c r="A148" s="127"/>
      <c r="B148" s="155" t="s">
        <v>160</v>
      </c>
      <c r="C148" s="156"/>
      <c r="D148" s="157" t="s">
        <v>161</v>
      </c>
      <c r="E148" s="158">
        <f>E150+E149</f>
        <v>106000</v>
      </c>
      <c r="F148" s="158">
        <f>F150+F149</f>
        <v>88096.8</v>
      </c>
      <c r="G148" s="159">
        <f t="shared" si="45"/>
        <v>0.83110188679245289</v>
      </c>
      <c r="H148" s="158">
        <f>H150+H149</f>
        <v>108656.8</v>
      </c>
      <c r="I148" s="158">
        <f>I150+I149</f>
        <v>85437</v>
      </c>
      <c r="J148" s="160">
        <f t="shared" si="49"/>
        <v>0.8060094339622641</v>
      </c>
      <c r="K148" s="114">
        <f t="shared" si="46"/>
        <v>85440</v>
      </c>
      <c r="L148" s="44">
        <f t="shared" ref="L148:AC148" si="67">L150</f>
        <v>85440</v>
      </c>
      <c r="M148" s="8">
        <f t="shared" si="67"/>
        <v>85440</v>
      </c>
      <c r="N148" s="8">
        <f t="shared" si="67"/>
        <v>0</v>
      </c>
      <c r="O148" s="8">
        <f t="shared" si="67"/>
        <v>0</v>
      </c>
      <c r="P148" s="8">
        <f t="shared" si="67"/>
        <v>0</v>
      </c>
      <c r="Q148" s="8">
        <f t="shared" si="67"/>
        <v>0</v>
      </c>
      <c r="R148" s="8">
        <f t="shared" si="67"/>
        <v>0</v>
      </c>
      <c r="S148" s="8">
        <f t="shared" si="67"/>
        <v>0</v>
      </c>
      <c r="T148" s="8">
        <f t="shared" si="67"/>
        <v>0</v>
      </c>
      <c r="U148" s="8">
        <f t="shared" si="67"/>
        <v>0</v>
      </c>
      <c r="V148" s="8">
        <f t="shared" si="67"/>
        <v>0</v>
      </c>
      <c r="W148" s="8">
        <f t="shared" si="67"/>
        <v>0</v>
      </c>
      <c r="X148" s="8">
        <f t="shared" si="67"/>
        <v>0</v>
      </c>
      <c r="Y148" s="8">
        <f t="shared" si="67"/>
        <v>0</v>
      </c>
      <c r="Z148" s="8">
        <f t="shared" si="67"/>
        <v>0</v>
      </c>
      <c r="AA148" s="8">
        <f t="shared" si="67"/>
        <v>0</v>
      </c>
      <c r="AB148" s="8">
        <f t="shared" si="67"/>
        <v>0</v>
      </c>
      <c r="AC148" s="35">
        <f t="shared" si="67"/>
        <v>0</v>
      </c>
    </row>
    <row r="149" spans="1:29" s="74" customFormat="1" ht="15" x14ac:dyDescent="0.2">
      <c r="A149" s="127"/>
      <c r="B149" s="128"/>
      <c r="C149" s="130" t="s">
        <v>121</v>
      </c>
      <c r="D149" s="137" t="s">
        <v>122</v>
      </c>
      <c r="E149" s="62">
        <v>0</v>
      </c>
      <c r="F149" s="62">
        <v>2656.8</v>
      </c>
      <c r="G149" s="50">
        <v>0</v>
      </c>
      <c r="H149" s="62">
        <v>2656.8</v>
      </c>
      <c r="I149" s="62">
        <v>0</v>
      </c>
      <c r="J149" s="129">
        <v>0</v>
      </c>
      <c r="K149" s="43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6"/>
    </row>
    <row r="150" spans="1:29" ht="45" x14ac:dyDescent="0.2">
      <c r="A150" s="128"/>
      <c r="B150" s="128"/>
      <c r="C150" s="128" t="s">
        <v>123</v>
      </c>
      <c r="D150" s="137" t="s">
        <v>124</v>
      </c>
      <c r="E150" s="62">
        <v>106000</v>
      </c>
      <c r="F150" s="65">
        <v>85440</v>
      </c>
      <c r="G150" s="50">
        <f t="shared" si="45"/>
        <v>0.80603773584905658</v>
      </c>
      <c r="H150" s="65">
        <v>106000</v>
      </c>
      <c r="I150" s="65">
        <v>85437</v>
      </c>
      <c r="J150" s="129">
        <f t="shared" si="49"/>
        <v>0.8060094339622641</v>
      </c>
      <c r="K150" s="39">
        <f t="shared" si="46"/>
        <v>85440</v>
      </c>
      <c r="L150" s="31">
        <f>SUM(M150:Q150)</f>
        <v>85440</v>
      </c>
      <c r="M150" s="82">
        <v>85440</v>
      </c>
      <c r="N150" s="31"/>
      <c r="O150" s="31"/>
      <c r="P150" s="31"/>
      <c r="Q150" s="31"/>
      <c r="R150" s="31"/>
      <c r="S150" s="31">
        <f>SUM(T150:AC150)</f>
        <v>0</v>
      </c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5" x14ac:dyDescent="0.2">
      <c r="A151" s="127"/>
      <c r="B151" s="155" t="s">
        <v>162</v>
      </c>
      <c r="C151" s="156"/>
      <c r="D151" s="157" t="s">
        <v>163</v>
      </c>
      <c r="E151" s="158">
        <f>E152</f>
        <v>10000</v>
      </c>
      <c r="F151" s="158">
        <f t="shared" ref="F151:AC151" si="68">F152</f>
        <v>9100</v>
      </c>
      <c r="G151" s="159">
        <f t="shared" si="45"/>
        <v>0.91</v>
      </c>
      <c r="H151" s="158">
        <f t="shared" si="68"/>
        <v>10000</v>
      </c>
      <c r="I151" s="158">
        <f t="shared" si="68"/>
        <v>0</v>
      </c>
      <c r="J151" s="160">
        <f t="shared" si="49"/>
        <v>0</v>
      </c>
      <c r="K151" s="114">
        <f t="shared" si="46"/>
        <v>0</v>
      </c>
      <c r="L151" s="44">
        <f t="shared" si="68"/>
        <v>0</v>
      </c>
      <c r="M151" s="8">
        <f t="shared" si="68"/>
        <v>0</v>
      </c>
      <c r="N151" s="8">
        <f t="shared" si="68"/>
        <v>0</v>
      </c>
      <c r="O151" s="8">
        <f t="shared" si="68"/>
        <v>0</v>
      </c>
      <c r="P151" s="8">
        <f t="shared" si="68"/>
        <v>0</v>
      </c>
      <c r="Q151" s="8">
        <f t="shared" si="68"/>
        <v>0</v>
      </c>
      <c r="R151" s="8">
        <f t="shared" si="68"/>
        <v>0</v>
      </c>
      <c r="S151" s="8">
        <f t="shared" si="68"/>
        <v>0</v>
      </c>
      <c r="T151" s="8">
        <f t="shared" si="68"/>
        <v>0</v>
      </c>
      <c r="U151" s="8">
        <f t="shared" si="68"/>
        <v>0</v>
      </c>
      <c r="V151" s="8">
        <f t="shared" si="68"/>
        <v>0</v>
      </c>
      <c r="W151" s="8">
        <f t="shared" si="68"/>
        <v>0</v>
      </c>
      <c r="X151" s="8">
        <f t="shared" si="68"/>
        <v>0</v>
      </c>
      <c r="Y151" s="8">
        <f t="shared" si="68"/>
        <v>0</v>
      </c>
      <c r="Z151" s="8">
        <f t="shared" si="68"/>
        <v>0</v>
      </c>
      <c r="AA151" s="8">
        <f t="shared" si="68"/>
        <v>0</v>
      </c>
      <c r="AB151" s="8">
        <f t="shared" si="68"/>
        <v>0</v>
      </c>
      <c r="AC151" s="35">
        <f t="shared" si="68"/>
        <v>0</v>
      </c>
    </row>
    <row r="152" spans="1:29" ht="56.25" x14ac:dyDescent="0.2">
      <c r="A152" s="128"/>
      <c r="B152" s="128"/>
      <c r="C152" s="128" t="s">
        <v>16</v>
      </c>
      <c r="D152" s="137" t="s">
        <v>17</v>
      </c>
      <c r="E152" s="62">
        <v>10000</v>
      </c>
      <c r="F152" s="65">
        <v>9100</v>
      </c>
      <c r="G152" s="50">
        <f t="shared" si="45"/>
        <v>0.91</v>
      </c>
      <c r="H152" s="65">
        <v>10000</v>
      </c>
      <c r="I152" s="65">
        <v>0</v>
      </c>
      <c r="J152" s="129">
        <f t="shared" si="49"/>
        <v>0</v>
      </c>
      <c r="K152" s="39">
        <f t="shared" si="46"/>
        <v>0</v>
      </c>
      <c r="L152" s="31"/>
      <c r="M152" s="31"/>
      <c r="N152" s="31"/>
      <c r="O152" s="31"/>
      <c r="P152" s="31"/>
      <c r="Q152" s="31"/>
      <c r="R152" s="31"/>
      <c r="S152" s="31">
        <f>SUM(T152:AC152)</f>
        <v>0</v>
      </c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5" x14ac:dyDescent="0.2">
      <c r="A153" s="127"/>
      <c r="B153" s="155" t="s">
        <v>164</v>
      </c>
      <c r="C153" s="156"/>
      <c r="D153" s="157" t="s">
        <v>165</v>
      </c>
      <c r="E153" s="158">
        <f>E154+E155</f>
        <v>412400</v>
      </c>
      <c r="F153" s="158">
        <f t="shared" ref="F153:I153" si="69">F154+F155</f>
        <v>307465.25</v>
      </c>
      <c r="G153" s="159">
        <f>F153/E153</f>
        <v>0.74555104267701255</v>
      </c>
      <c r="H153" s="158">
        <f t="shared" si="69"/>
        <v>412400</v>
      </c>
      <c r="I153" s="158">
        <f t="shared" si="69"/>
        <v>374440</v>
      </c>
      <c r="J153" s="159">
        <f>I153/H153</f>
        <v>0.90795344325897187</v>
      </c>
      <c r="K153" s="114" t="e">
        <f t="shared" si="46"/>
        <v>#REF!</v>
      </c>
      <c r="L153" s="59" t="e">
        <f>L155+#REF!+L154</f>
        <v>#REF!</v>
      </c>
      <c r="M153" s="58" t="e">
        <f>M155+#REF!</f>
        <v>#REF!</v>
      </c>
      <c r="N153" s="58" t="e">
        <f>N155+#REF!</f>
        <v>#REF!</v>
      </c>
      <c r="O153" s="58" t="e">
        <f>O155+#REF!</f>
        <v>#REF!</v>
      </c>
      <c r="P153" s="58" t="e">
        <f>P155+#REF!</f>
        <v>#REF!</v>
      </c>
      <c r="Q153" s="58" t="e">
        <f>Q155+#REF!</f>
        <v>#REF!</v>
      </c>
      <c r="R153" s="58" t="e">
        <f>R154+R155+#REF!</f>
        <v>#REF!</v>
      </c>
      <c r="S153" s="58" t="e">
        <f>S155+#REF!</f>
        <v>#REF!</v>
      </c>
      <c r="T153" s="58" t="e">
        <f>T155+#REF!</f>
        <v>#REF!</v>
      </c>
      <c r="U153" s="58" t="e">
        <f>U155+#REF!</f>
        <v>#REF!</v>
      </c>
      <c r="V153" s="58" t="e">
        <f>V155+#REF!</f>
        <v>#REF!</v>
      </c>
      <c r="W153" s="58" t="e">
        <f>W155+#REF!</f>
        <v>#REF!</v>
      </c>
      <c r="X153" s="58" t="e">
        <f>X155+#REF!</f>
        <v>#REF!</v>
      </c>
      <c r="Y153" s="58" t="e">
        <f>Y155+#REF!</f>
        <v>#REF!</v>
      </c>
      <c r="Z153" s="58" t="e">
        <f>Z155+#REF!</f>
        <v>#REF!</v>
      </c>
      <c r="AA153" s="58" t="e">
        <f>AA155+#REF!</f>
        <v>#REF!</v>
      </c>
      <c r="AB153" s="58" t="e">
        <f>AB155+#REF!</f>
        <v>#REF!</v>
      </c>
      <c r="AC153" s="60" t="e">
        <f>AC155+#REF!</f>
        <v>#REF!</v>
      </c>
    </row>
    <row r="154" spans="1:29" s="68" customFormat="1" ht="11.25" x14ac:dyDescent="0.2">
      <c r="A154" s="130"/>
      <c r="B154" s="130"/>
      <c r="C154" s="63" t="s">
        <v>121</v>
      </c>
      <c r="D154" s="137" t="s">
        <v>122</v>
      </c>
      <c r="E154" s="62">
        <v>7000</v>
      </c>
      <c r="F154" s="62">
        <v>6465.25</v>
      </c>
      <c r="G154" s="50">
        <f>F154/E154</f>
        <v>0.92360714285714285</v>
      </c>
      <c r="H154" s="62">
        <v>7000</v>
      </c>
      <c r="I154" s="62">
        <v>40000</v>
      </c>
      <c r="J154" s="129">
        <f>I154/H154</f>
        <v>5.7142857142857144</v>
      </c>
      <c r="K154" s="73">
        <f>L154+R154</f>
        <v>5000</v>
      </c>
      <c r="L154" s="62">
        <f>SUM(M154:Q154)</f>
        <v>0</v>
      </c>
      <c r="M154" s="62"/>
      <c r="N154" s="62"/>
      <c r="O154" s="62"/>
      <c r="P154" s="62"/>
      <c r="Q154" s="62"/>
      <c r="R154" s="85">
        <v>5000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ht="45" x14ac:dyDescent="0.2">
      <c r="A155" s="128"/>
      <c r="B155" s="128"/>
      <c r="C155" s="128" t="s">
        <v>123</v>
      </c>
      <c r="D155" s="137" t="s">
        <v>124</v>
      </c>
      <c r="E155" s="62">
        <v>405400</v>
      </c>
      <c r="F155" s="65">
        <v>301000</v>
      </c>
      <c r="G155" s="50">
        <f t="shared" si="45"/>
        <v>0.7424765663542181</v>
      </c>
      <c r="H155" s="65">
        <v>405400</v>
      </c>
      <c r="I155" s="65">
        <v>334440</v>
      </c>
      <c r="J155" s="129">
        <f t="shared" si="49"/>
        <v>0.82496299950666008</v>
      </c>
      <c r="K155" s="39">
        <f t="shared" si="46"/>
        <v>346530</v>
      </c>
      <c r="L155" s="31">
        <f>SUM(M155:Q155)</f>
        <v>346530</v>
      </c>
      <c r="M155" s="82">
        <v>346530</v>
      </c>
      <c r="N155" s="31"/>
      <c r="O155" s="31"/>
      <c r="P155" s="31"/>
      <c r="Q155" s="31"/>
      <c r="R155" s="31"/>
      <c r="S155" s="31">
        <f>SUM(T155:AC155)</f>
        <v>0</v>
      </c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5" x14ac:dyDescent="0.2">
      <c r="A156" s="127"/>
      <c r="B156" s="155" t="s">
        <v>166</v>
      </c>
      <c r="C156" s="156"/>
      <c r="D156" s="157" t="s">
        <v>167</v>
      </c>
      <c r="E156" s="158">
        <f>E159+E157+E158</f>
        <v>188386</v>
      </c>
      <c r="F156" s="158">
        <f>F159+F157+F158</f>
        <v>150666.79999999999</v>
      </c>
      <c r="G156" s="159">
        <f t="shared" si="45"/>
        <v>0.79977705349654427</v>
      </c>
      <c r="H156" s="158">
        <f>H159+H157+H158</f>
        <v>188602</v>
      </c>
      <c r="I156" s="158">
        <f>I159+I157+I158</f>
        <v>164122</v>
      </c>
      <c r="J156" s="160">
        <f t="shared" si="49"/>
        <v>0.87120062000360965</v>
      </c>
      <c r="K156" s="114">
        <f t="shared" si="46"/>
        <v>164386</v>
      </c>
      <c r="L156" s="44">
        <f t="shared" ref="L156:AC156" si="70">L159</f>
        <v>164386</v>
      </c>
      <c r="M156" s="8">
        <f t="shared" si="70"/>
        <v>164386</v>
      </c>
      <c r="N156" s="8">
        <f t="shared" si="70"/>
        <v>0</v>
      </c>
      <c r="O156" s="8">
        <f t="shared" si="70"/>
        <v>0</v>
      </c>
      <c r="P156" s="8">
        <f t="shared" si="70"/>
        <v>0</v>
      </c>
      <c r="Q156" s="8">
        <f t="shared" si="70"/>
        <v>0</v>
      </c>
      <c r="R156" s="8">
        <f t="shared" si="70"/>
        <v>0</v>
      </c>
      <c r="S156" s="8">
        <f t="shared" si="70"/>
        <v>0</v>
      </c>
      <c r="T156" s="8">
        <f t="shared" si="70"/>
        <v>0</v>
      </c>
      <c r="U156" s="8">
        <f t="shared" si="70"/>
        <v>0</v>
      </c>
      <c r="V156" s="8">
        <f t="shared" si="70"/>
        <v>0</v>
      </c>
      <c r="W156" s="8">
        <f t="shared" si="70"/>
        <v>0</v>
      </c>
      <c r="X156" s="8">
        <f t="shared" si="70"/>
        <v>0</v>
      </c>
      <c r="Y156" s="8">
        <f t="shared" si="70"/>
        <v>0</v>
      </c>
      <c r="Z156" s="8">
        <f t="shared" si="70"/>
        <v>0</v>
      </c>
      <c r="AA156" s="8">
        <f t="shared" si="70"/>
        <v>0</v>
      </c>
      <c r="AB156" s="8">
        <f t="shared" si="70"/>
        <v>0</v>
      </c>
      <c r="AC156" s="35">
        <f t="shared" si="70"/>
        <v>0</v>
      </c>
    </row>
    <row r="157" spans="1:29" s="74" customFormat="1" ht="26.25" customHeight="1" x14ac:dyDescent="0.2">
      <c r="A157" s="127"/>
      <c r="B157" s="128"/>
      <c r="C157" s="130" t="s">
        <v>96</v>
      </c>
      <c r="D157" s="137" t="s">
        <v>97</v>
      </c>
      <c r="E157" s="62">
        <v>0</v>
      </c>
      <c r="F157" s="62">
        <v>116</v>
      </c>
      <c r="G157" s="50">
        <v>0</v>
      </c>
      <c r="H157" s="62">
        <v>116</v>
      </c>
      <c r="I157" s="62">
        <v>0</v>
      </c>
      <c r="J157" s="129">
        <v>0</v>
      </c>
      <c r="K157" s="43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6"/>
    </row>
    <row r="158" spans="1:29" s="74" customFormat="1" ht="15" x14ac:dyDescent="0.2">
      <c r="A158" s="127"/>
      <c r="B158" s="128"/>
      <c r="C158" s="130" t="s">
        <v>121</v>
      </c>
      <c r="D158" s="137" t="s">
        <v>122</v>
      </c>
      <c r="E158" s="62">
        <v>0</v>
      </c>
      <c r="F158" s="62">
        <v>100</v>
      </c>
      <c r="G158" s="50">
        <v>0</v>
      </c>
      <c r="H158" s="62">
        <v>100</v>
      </c>
      <c r="I158" s="62">
        <v>0</v>
      </c>
      <c r="J158" s="129">
        <v>0</v>
      </c>
      <c r="K158" s="43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6"/>
    </row>
    <row r="159" spans="1:29" ht="45" x14ac:dyDescent="0.2">
      <c r="A159" s="128"/>
      <c r="B159" s="128"/>
      <c r="C159" s="128" t="s">
        <v>123</v>
      </c>
      <c r="D159" s="137" t="s">
        <v>124</v>
      </c>
      <c r="E159" s="62">
        <v>188386</v>
      </c>
      <c r="F159" s="65">
        <v>150450.79999999999</v>
      </c>
      <c r="G159" s="50">
        <f t="shared" si="45"/>
        <v>0.7986304714787722</v>
      </c>
      <c r="H159" s="65">
        <v>188386</v>
      </c>
      <c r="I159" s="65">
        <v>164122</v>
      </c>
      <c r="J159" s="129">
        <f t="shared" si="49"/>
        <v>0.87120062000360965</v>
      </c>
      <c r="K159" s="39">
        <f t="shared" si="46"/>
        <v>164386</v>
      </c>
      <c r="L159" s="31">
        <f>SUM(M159:Q159)</f>
        <v>164386</v>
      </c>
      <c r="M159" s="82">
        <v>164386</v>
      </c>
      <c r="N159" s="31"/>
      <c r="O159" s="31"/>
      <c r="P159" s="31"/>
      <c r="Q159" s="31"/>
      <c r="R159" s="31"/>
      <c r="S159" s="31">
        <f>SUM(T159:AC159)</f>
        <v>0</v>
      </c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22.5" x14ac:dyDescent="0.2">
      <c r="A160" s="127"/>
      <c r="B160" s="155" t="s">
        <v>168</v>
      </c>
      <c r="C160" s="156"/>
      <c r="D160" s="157" t="s">
        <v>169</v>
      </c>
      <c r="E160" s="158">
        <f>E161+E162+E163</f>
        <v>551210.9</v>
      </c>
      <c r="F160" s="158">
        <f t="shared" ref="F160:I160" si="71">F161+F162+F163</f>
        <v>364830.75999999995</v>
      </c>
      <c r="G160" s="159">
        <f>F160/E160</f>
        <v>0.66187145428365068</v>
      </c>
      <c r="H160" s="158">
        <f t="shared" si="71"/>
        <v>551210.9</v>
      </c>
      <c r="I160" s="158">
        <f t="shared" si="71"/>
        <v>423880.9</v>
      </c>
      <c r="J160" s="159">
        <f>I160/H160</f>
        <v>0.76899948821766773</v>
      </c>
      <c r="K160" s="114" t="e">
        <f t="shared" si="46"/>
        <v>#REF!</v>
      </c>
      <c r="L160" s="44" t="e">
        <f>L161+L162+#REF!+L163</f>
        <v>#REF!</v>
      </c>
      <c r="M160" s="8" t="e">
        <f>M161+M162+#REF!+M163</f>
        <v>#REF!</v>
      </c>
      <c r="N160" s="8" t="e">
        <f>N161+N162+#REF!+N163</f>
        <v>#REF!</v>
      </c>
      <c r="O160" s="8" t="e">
        <f>O161+O162+#REF!+O163</f>
        <v>#REF!</v>
      </c>
      <c r="P160" s="8" t="e">
        <f>P161+P162+#REF!+P163</f>
        <v>#REF!</v>
      </c>
      <c r="Q160" s="8" t="e">
        <f>Q161+Q162+#REF!+Q163</f>
        <v>#REF!</v>
      </c>
      <c r="R160" s="8" t="e">
        <f>R161+R162+#REF!+R163</f>
        <v>#REF!</v>
      </c>
      <c r="S160" s="8" t="e">
        <f>S161+S162+#REF!+S163</f>
        <v>#REF!</v>
      </c>
      <c r="T160" s="8" t="e">
        <f>T161+T162+#REF!+T163</f>
        <v>#REF!</v>
      </c>
      <c r="U160" s="8" t="e">
        <f>U161+U162+#REF!+U163</f>
        <v>#REF!</v>
      </c>
      <c r="V160" s="8" t="e">
        <f>V161+V162+#REF!+V163</f>
        <v>#REF!</v>
      </c>
      <c r="W160" s="8" t="e">
        <f>W161+W162+#REF!+W163</f>
        <v>#REF!</v>
      </c>
      <c r="X160" s="8" t="e">
        <f>X161+X162+#REF!+X163</f>
        <v>#REF!</v>
      </c>
      <c r="Y160" s="8" t="e">
        <f>Y161+Y162+#REF!+Y163</f>
        <v>#REF!</v>
      </c>
      <c r="Z160" s="8" t="e">
        <f>Z161+Z162+#REF!+Z163</f>
        <v>#REF!</v>
      </c>
      <c r="AA160" s="8" t="e">
        <f>AA161+AA162+#REF!+AA163</f>
        <v>#REF!</v>
      </c>
      <c r="AB160" s="8" t="e">
        <f>AB161+AB162+#REF!+AB163</f>
        <v>#REF!</v>
      </c>
      <c r="AC160" s="35" t="e">
        <f>AC161+AC162+#REF!+AC163</f>
        <v>#REF!</v>
      </c>
    </row>
    <row r="161" spans="1:29" ht="17.25" customHeight="1" x14ac:dyDescent="0.2">
      <c r="A161" s="128"/>
      <c r="B161" s="128"/>
      <c r="C161" s="128" t="s">
        <v>66</v>
      </c>
      <c r="D161" s="137" t="s">
        <v>67</v>
      </c>
      <c r="E161" s="62">
        <v>55000</v>
      </c>
      <c r="F161" s="65">
        <v>41744.1</v>
      </c>
      <c r="G161" s="50">
        <f t="shared" si="45"/>
        <v>0.7589836363636363</v>
      </c>
      <c r="H161" s="65">
        <v>55000</v>
      </c>
      <c r="I161" s="65">
        <v>65000</v>
      </c>
      <c r="J161" s="129">
        <f t="shared" si="49"/>
        <v>1.1818181818181819</v>
      </c>
      <c r="K161" s="106">
        <f t="shared" si="46"/>
        <v>55000</v>
      </c>
      <c r="L161" s="46">
        <f>SUM(M161:Q161)</f>
        <v>0</v>
      </c>
      <c r="M161" s="31"/>
      <c r="N161" s="31"/>
      <c r="O161" s="31"/>
      <c r="P161" s="31"/>
      <c r="Q161" s="31"/>
      <c r="R161" s="82">
        <f>35000+20000</f>
        <v>55000</v>
      </c>
      <c r="S161" s="31">
        <f>SUM(T161:AC161)</f>
        <v>0</v>
      </c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56.25" x14ac:dyDescent="0.2">
      <c r="A162" s="128"/>
      <c r="B162" s="128"/>
      <c r="C162" s="128" t="s">
        <v>16</v>
      </c>
      <c r="D162" s="137" t="s">
        <v>17</v>
      </c>
      <c r="E162" s="62">
        <v>494000</v>
      </c>
      <c r="F162" s="65">
        <v>321000</v>
      </c>
      <c r="G162" s="50">
        <f t="shared" si="45"/>
        <v>0.6497975708502024</v>
      </c>
      <c r="H162" s="65">
        <v>494000</v>
      </c>
      <c r="I162" s="65">
        <v>356670</v>
      </c>
      <c r="J162" s="129">
        <f t="shared" si="49"/>
        <v>0.72200404858299594</v>
      </c>
      <c r="K162" s="106">
        <f t="shared" si="46"/>
        <v>494000</v>
      </c>
      <c r="L162" s="46">
        <f>SUM(M162:Q162)</f>
        <v>494000</v>
      </c>
      <c r="M162" s="31">
        <v>494000</v>
      </c>
      <c r="N162" s="31"/>
      <c r="O162" s="31"/>
      <c r="P162" s="31"/>
      <c r="Q162" s="31"/>
      <c r="R162" s="31"/>
      <c r="S162" s="31">
        <f>SUM(T162:AC162)</f>
        <v>0</v>
      </c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45" x14ac:dyDescent="0.2">
      <c r="A163" s="128"/>
      <c r="B163" s="128"/>
      <c r="C163" s="128" t="s">
        <v>170</v>
      </c>
      <c r="D163" s="137" t="s">
        <v>171</v>
      </c>
      <c r="E163" s="62">
        <v>2210.9</v>
      </c>
      <c r="F163" s="65">
        <v>2086.66</v>
      </c>
      <c r="G163" s="50">
        <f t="shared" si="45"/>
        <v>0.94380568999050152</v>
      </c>
      <c r="H163" s="65">
        <v>2210.9</v>
      </c>
      <c r="I163" s="65">
        <v>2210.9</v>
      </c>
      <c r="J163" s="129">
        <f t="shared" si="49"/>
        <v>1</v>
      </c>
      <c r="K163" s="106">
        <f t="shared" si="46"/>
        <v>2210.9</v>
      </c>
      <c r="L163" s="46">
        <f>SUM(M163:Q163)</f>
        <v>0</v>
      </c>
      <c r="M163" s="31"/>
      <c r="N163" s="31"/>
      <c r="O163" s="31"/>
      <c r="P163" s="31"/>
      <c r="Q163" s="31"/>
      <c r="R163" s="82">
        <v>2210.9</v>
      </c>
      <c r="S163" s="31">
        <f>SUM(T163:AC163)</f>
        <v>0</v>
      </c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5" x14ac:dyDescent="0.2">
      <c r="A164" s="127"/>
      <c r="B164" s="155" t="s">
        <v>172</v>
      </c>
      <c r="C164" s="156"/>
      <c r="D164" s="157" t="s">
        <v>173</v>
      </c>
      <c r="E164" s="158">
        <f>E165</f>
        <v>220500</v>
      </c>
      <c r="F164" s="158">
        <f t="shared" ref="F164:AC164" si="72">F165</f>
        <v>77316.19</v>
      </c>
      <c r="G164" s="159">
        <f t="shared" si="45"/>
        <v>0.35064031746031749</v>
      </c>
      <c r="H164" s="158">
        <f t="shared" si="72"/>
        <v>220500</v>
      </c>
      <c r="I164" s="158">
        <f t="shared" si="72"/>
        <v>0</v>
      </c>
      <c r="J164" s="160">
        <f t="shared" si="49"/>
        <v>0</v>
      </c>
      <c r="K164" s="114">
        <f t="shared" si="46"/>
        <v>0</v>
      </c>
      <c r="L164" s="44">
        <f t="shared" si="72"/>
        <v>0</v>
      </c>
      <c r="M164" s="8">
        <f t="shared" si="72"/>
        <v>0</v>
      </c>
      <c r="N164" s="8">
        <f t="shared" si="72"/>
        <v>0</v>
      </c>
      <c r="O164" s="8">
        <f t="shared" si="72"/>
        <v>0</v>
      </c>
      <c r="P164" s="8">
        <f t="shared" si="72"/>
        <v>0</v>
      </c>
      <c r="Q164" s="8">
        <f t="shared" si="72"/>
        <v>0</v>
      </c>
      <c r="R164" s="8">
        <f t="shared" si="72"/>
        <v>0</v>
      </c>
      <c r="S164" s="8">
        <f t="shared" si="72"/>
        <v>0</v>
      </c>
      <c r="T164" s="8">
        <f t="shared" si="72"/>
        <v>0</v>
      </c>
      <c r="U164" s="8">
        <f t="shared" si="72"/>
        <v>0</v>
      </c>
      <c r="V164" s="8">
        <f t="shared" si="72"/>
        <v>0</v>
      </c>
      <c r="W164" s="8">
        <f t="shared" si="72"/>
        <v>0</v>
      </c>
      <c r="X164" s="8">
        <f t="shared" si="72"/>
        <v>0</v>
      </c>
      <c r="Y164" s="8">
        <f t="shared" si="72"/>
        <v>0</v>
      </c>
      <c r="Z164" s="8">
        <f t="shared" si="72"/>
        <v>0</v>
      </c>
      <c r="AA164" s="8">
        <f t="shared" si="72"/>
        <v>0</v>
      </c>
      <c r="AB164" s="8">
        <f t="shared" si="72"/>
        <v>0</v>
      </c>
      <c r="AC164" s="35">
        <f t="shared" si="72"/>
        <v>0</v>
      </c>
    </row>
    <row r="165" spans="1:29" ht="45" x14ac:dyDescent="0.2">
      <c r="A165" s="128"/>
      <c r="B165" s="128"/>
      <c r="C165" s="128" t="s">
        <v>123</v>
      </c>
      <c r="D165" s="137" t="s">
        <v>124</v>
      </c>
      <c r="E165" s="62">
        <v>220500</v>
      </c>
      <c r="F165" s="65">
        <v>77316.19</v>
      </c>
      <c r="G165" s="50">
        <f t="shared" si="45"/>
        <v>0.35064031746031749</v>
      </c>
      <c r="H165" s="65">
        <v>220500</v>
      </c>
      <c r="I165" s="65">
        <v>0</v>
      </c>
      <c r="J165" s="129">
        <f t="shared" si="49"/>
        <v>0</v>
      </c>
      <c r="K165" s="106">
        <f t="shared" si="46"/>
        <v>0</v>
      </c>
      <c r="L165" s="46">
        <f>SUM(M165:Q165)</f>
        <v>0</v>
      </c>
      <c r="M165" s="31"/>
      <c r="N165" s="31"/>
      <c r="O165" s="31"/>
      <c r="P165" s="31"/>
      <c r="Q165" s="31"/>
      <c r="R165" s="31"/>
      <c r="S165" s="31">
        <f>SUM(T165:AC165)</f>
        <v>0</v>
      </c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s="74" customFormat="1" x14ac:dyDescent="0.2">
      <c r="A166" s="128"/>
      <c r="B166" s="155" t="s">
        <v>226</v>
      </c>
      <c r="C166" s="155"/>
      <c r="D166" s="157" t="s">
        <v>13</v>
      </c>
      <c r="E166" s="158">
        <f>E167</f>
        <v>5000</v>
      </c>
      <c r="F166" s="158">
        <f>F167</f>
        <v>5000</v>
      </c>
      <c r="G166" s="159">
        <f>F166/E166</f>
        <v>1</v>
      </c>
      <c r="H166" s="162">
        <f>H167</f>
        <v>5000</v>
      </c>
      <c r="I166" s="162">
        <f>I167</f>
        <v>0</v>
      </c>
      <c r="J166" s="160"/>
      <c r="K166" s="106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3"/>
    </row>
    <row r="167" spans="1:29" s="74" customFormat="1" ht="45" x14ac:dyDescent="0.2">
      <c r="A167" s="128"/>
      <c r="B167" s="128"/>
      <c r="C167" s="128" t="s">
        <v>123</v>
      </c>
      <c r="D167" s="137" t="s">
        <v>124</v>
      </c>
      <c r="E167" s="62">
        <v>5000</v>
      </c>
      <c r="F167" s="65">
        <v>5000</v>
      </c>
      <c r="G167" s="50">
        <f>F167/E167</f>
        <v>1</v>
      </c>
      <c r="H167" s="65">
        <v>5000</v>
      </c>
      <c r="I167" s="65">
        <v>0</v>
      </c>
      <c r="J167" s="129">
        <v>0</v>
      </c>
      <c r="K167" s="106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3"/>
    </row>
    <row r="168" spans="1:29" ht="22.5" x14ac:dyDescent="0.2">
      <c r="A168" s="148" t="s">
        <v>174</v>
      </c>
      <c r="B168" s="148"/>
      <c r="C168" s="148"/>
      <c r="D168" s="145" t="s">
        <v>175</v>
      </c>
      <c r="E168" s="149">
        <f>E169</f>
        <v>0</v>
      </c>
      <c r="F168" s="149">
        <f t="shared" ref="F168:J168" si="73">F169</f>
        <v>227.36</v>
      </c>
      <c r="G168" s="149">
        <f t="shared" si="73"/>
        <v>0</v>
      </c>
      <c r="H168" s="149">
        <f t="shared" si="73"/>
        <v>227.36</v>
      </c>
      <c r="I168" s="149">
        <f t="shared" si="73"/>
        <v>0</v>
      </c>
      <c r="J168" s="149">
        <f t="shared" si="73"/>
        <v>0</v>
      </c>
      <c r="K168" s="116" t="e">
        <f t="shared" ref="K168:K224" si="74">L168+R168+S168</f>
        <v>#REF!</v>
      </c>
      <c r="L168" s="41" t="e">
        <f t="shared" ref="L168:AC168" si="75">L169</f>
        <v>#REF!</v>
      </c>
      <c r="M168" s="7" t="e">
        <f t="shared" si="75"/>
        <v>#REF!</v>
      </c>
      <c r="N168" s="7" t="e">
        <f t="shared" si="75"/>
        <v>#REF!</v>
      </c>
      <c r="O168" s="7" t="e">
        <f t="shared" si="75"/>
        <v>#REF!</v>
      </c>
      <c r="P168" s="7" t="e">
        <f t="shared" si="75"/>
        <v>#REF!</v>
      </c>
      <c r="Q168" s="7" t="e">
        <f t="shared" si="75"/>
        <v>#REF!</v>
      </c>
      <c r="R168" s="7" t="e">
        <f t="shared" si="75"/>
        <v>#REF!</v>
      </c>
      <c r="S168" s="7" t="e">
        <f t="shared" si="75"/>
        <v>#REF!</v>
      </c>
      <c r="T168" s="7" t="e">
        <f t="shared" si="75"/>
        <v>#REF!</v>
      </c>
      <c r="U168" s="7" t="e">
        <f t="shared" si="75"/>
        <v>#REF!</v>
      </c>
      <c r="V168" s="7" t="e">
        <f t="shared" si="75"/>
        <v>#REF!</v>
      </c>
      <c r="W168" s="7" t="e">
        <f t="shared" si="75"/>
        <v>#REF!</v>
      </c>
      <c r="X168" s="7" t="e">
        <f t="shared" si="75"/>
        <v>#REF!</v>
      </c>
      <c r="Y168" s="7" t="e">
        <f t="shared" si="75"/>
        <v>#REF!</v>
      </c>
      <c r="Z168" s="7" t="e">
        <f t="shared" si="75"/>
        <v>#REF!</v>
      </c>
      <c r="AA168" s="7" t="e">
        <f t="shared" si="75"/>
        <v>#REF!</v>
      </c>
      <c r="AB168" s="7" t="e">
        <f t="shared" si="75"/>
        <v>#REF!</v>
      </c>
      <c r="AC168" s="34" t="e">
        <f t="shared" si="75"/>
        <v>#REF!</v>
      </c>
    </row>
    <row r="169" spans="1:29" ht="15" x14ac:dyDescent="0.2">
      <c r="A169" s="127"/>
      <c r="B169" s="155" t="s">
        <v>176</v>
      </c>
      <c r="C169" s="156"/>
      <c r="D169" s="157" t="s">
        <v>13</v>
      </c>
      <c r="E169" s="158">
        <f>E170</f>
        <v>0</v>
      </c>
      <c r="F169" s="158">
        <f>F170</f>
        <v>227.36</v>
      </c>
      <c r="G169" s="159">
        <v>0</v>
      </c>
      <c r="H169" s="158">
        <f>H170</f>
        <v>227.36</v>
      </c>
      <c r="I169" s="158">
        <f>I170</f>
        <v>0</v>
      </c>
      <c r="J169" s="160">
        <v>0</v>
      </c>
      <c r="K169" s="43" t="e">
        <f t="shared" si="74"/>
        <v>#REF!</v>
      </c>
      <c r="L169" s="8" t="e">
        <f>L170+#REF!</f>
        <v>#REF!</v>
      </c>
      <c r="M169" s="8" t="e">
        <f>M170+#REF!</f>
        <v>#REF!</v>
      </c>
      <c r="N169" s="8" t="e">
        <f>N170+#REF!</f>
        <v>#REF!</v>
      </c>
      <c r="O169" s="8" t="e">
        <f>O170+#REF!</f>
        <v>#REF!</v>
      </c>
      <c r="P169" s="8" t="e">
        <f>P170+#REF!</f>
        <v>#REF!</v>
      </c>
      <c r="Q169" s="8" t="e">
        <f>Q170+#REF!</f>
        <v>#REF!</v>
      </c>
      <c r="R169" s="8" t="e">
        <f>R170+#REF!</f>
        <v>#REF!</v>
      </c>
      <c r="S169" s="8" t="e">
        <f>S170+#REF!</f>
        <v>#REF!</v>
      </c>
      <c r="T169" s="8" t="e">
        <f>T170+#REF!</f>
        <v>#REF!</v>
      </c>
      <c r="U169" s="8" t="e">
        <f>U170+#REF!</f>
        <v>#REF!</v>
      </c>
      <c r="V169" s="8" t="e">
        <f>V170+#REF!</f>
        <v>#REF!</v>
      </c>
      <c r="W169" s="8" t="e">
        <f>W170+#REF!</f>
        <v>#REF!</v>
      </c>
      <c r="X169" s="8" t="e">
        <f>X170+#REF!</f>
        <v>#REF!</v>
      </c>
      <c r="Y169" s="8" t="e">
        <f>Y170+#REF!</f>
        <v>#REF!</v>
      </c>
      <c r="Z169" s="8" t="e">
        <f>Z170+#REF!</f>
        <v>#REF!</v>
      </c>
      <c r="AA169" s="8" t="e">
        <f>AA170+#REF!</f>
        <v>#REF!</v>
      </c>
      <c r="AB169" s="8" t="e">
        <f>AB170+#REF!</f>
        <v>#REF!</v>
      </c>
      <c r="AC169" s="35" t="e">
        <f>AC170+#REF!</f>
        <v>#REF!</v>
      </c>
    </row>
    <row r="170" spans="1:29" x14ac:dyDescent="0.2">
      <c r="A170" s="128"/>
      <c r="B170" s="128"/>
      <c r="C170" s="128" t="s">
        <v>121</v>
      </c>
      <c r="D170" s="137" t="s">
        <v>122</v>
      </c>
      <c r="E170" s="62">
        <v>0</v>
      </c>
      <c r="F170" s="65">
        <v>227.36</v>
      </c>
      <c r="G170" s="50">
        <v>0</v>
      </c>
      <c r="H170" s="65">
        <v>227.36</v>
      </c>
      <c r="I170" s="65">
        <v>0</v>
      </c>
      <c r="J170" s="129">
        <v>0</v>
      </c>
      <c r="K170" s="106">
        <f t="shared" si="74"/>
        <v>0</v>
      </c>
      <c r="L170" s="31">
        <f>SUM(M170:Q170)</f>
        <v>0</v>
      </c>
      <c r="M170" s="31"/>
      <c r="N170" s="31"/>
      <c r="O170" s="31"/>
      <c r="P170" s="31"/>
      <c r="Q170" s="31"/>
      <c r="R170" s="31"/>
      <c r="S170" s="31">
        <f>SUM(T170:AC170)</f>
        <v>0</v>
      </c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22.5" customHeight="1" x14ac:dyDescent="0.2">
      <c r="A171" s="148" t="s">
        <v>177</v>
      </c>
      <c r="B171" s="148"/>
      <c r="C171" s="148"/>
      <c r="D171" s="145" t="s">
        <v>178</v>
      </c>
      <c r="E171" s="149">
        <f>E172</f>
        <v>228892</v>
      </c>
      <c r="F171" s="149">
        <f t="shared" ref="F171:AC171" si="76">F172</f>
        <v>169192</v>
      </c>
      <c r="G171" s="150">
        <f t="shared" ref="G171:G223" si="77">F171/E171</f>
        <v>0.73917830243084071</v>
      </c>
      <c r="H171" s="149">
        <f t="shared" si="76"/>
        <v>228892</v>
      </c>
      <c r="I171" s="149">
        <f t="shared" si="76"/>
        <v>0</v>
      </c>
      <c r="J171" s="151">
        <f t="shared" ref="J171:J223" si="78">I171/E171</f>
        <v>0</v>
      </c>
      <c r="K171" s="116">
        <f t="shared" si="74"/>
        <v>0</v>
      </c>
      <c r="L171" s="41">
        <f t="shared" si="76"/>
        <v>0</v>
      </c>
      <c r="M171" s="7">
        <f t="shared" si="76"/>
        <v>0</v>
      </c>
      <c r="N171" s="7">
        <f t="shared" si="76"/>
        <v>0</v>
      </c>
      <c r="O171" s="7">
        <f t="shared" si="76"/>
        <v>0</v>
      </c>
      <c r="P171" s="7">
        <f t="shared" si="76"/>
        <v>0</v>
      </c>
      <c r="Q171" s="7">
        <f t="shared" si="76"/>
        <v>0</v>
      </c>
      <c r="R171" s="7">
        <f t="shared" si="76"/>
        <v>0</v>
      </c>
      <c r="S171" s="7">
        <f t="shared" si="76"/>
        <v>0</v>
      </c>
      <c r="T171" s="7">
        <f t="shared" si="76"/>
        <v>0</v>
      </c>
      <c r="U171" s="7">
        <f t="shared" si="76"/>
        <v>0</v>
      </c>
      <c r="V171" s="7">
        <f t="shared" si="76"/>
        <v>0</v>
      </c>
      <c r="W171" s="7">
        <f t="shared" si="76"/>
        <v>0</v>
      </c>
      <c r="X171" s="7">
        <f t="shared" si="76"/>
        <v>0</v>
      </c>
      <c r="Y171" s="7">
        <f t="shared" si="76"/>
        <v>0</v>
      </c>
      <c r="Z171" s="7">
        <f t="shared" si="76"/>
        <v>0</v>
      </c>
      <c r="AA171" s="7">
        <f t="shared" si="76"/>
        <v>0</v>
      </c>
      <c r="AB171" s="7">
        <f t="shared" si="76"/>
        <v>0</v>
      </c>
      <c r="AC171" s="34">
        <f t="shared" si="76"/>
        <v>0</v>
      </c>
    </row>
    <row r="172" spans="1:29" ht="22.5" x14ac:dyDescent="0.2">
      <c r="A172" s="127"/>
      <c r="B172" s="155" t="s">
        <v>179</v>
      </c>
      <c r="C172" s="156"/>
      <c r="D172" s="157" t="s">
        <v>180</v>
      </c>
      <c r="E172" s="158">
        <f>E173+E174</f>
        <v>228892</v>
      </c>
      <c r="F172" s="158">
        <f>F173+F174</f>
        <v>169192</v>
      </c>
      <c r="G172" s="159">
        <f t="shared" si="77"/>
        <v>0.73917830243084071</v>
      </c>
      <c r="H172" s="158">
        <f>H173+H174</f>
        <v>228892</v>
      </c>
      <c r="I172" s="158">
        <f>I173+I174</f>
        <v>0</v>
      </c>
      <c r="J172" s="160">
        <f t="shared" si="78"/>
        <v>0</v>
      </c>
      <c r="K172" s="114">
        <f t="shared" si="74"/>
        <v>0</v>
      </c>
      <c r="L172" s="44">
        <f t="shared" ref="L172:AC172" si="79">L173</f>
        <v>0</v>
      </c>
      <c r="M172" s="8">
        <f t="shared" si="79"/>
        <v>0</v>
      </c>
      <c r="N172" s="8">
        <f t="shared" si="79"/>
        <v>0</v>
      </c>
      <c r="O172" s="8">
        <f t="shared" si="79"/>
        <v>0</v>
      </c>
      <c r="P172" s="8">
        <f t="shared" si="79"/>
        <v>0</v>
      </c>
      <c r="Q172" s="8">
        <f t="shared" si="79"/>
        <v>0</v>
      </c>
      <c r="R172" s="8">
        <f t="shared" si="79"/>
        <v>0</v>
      </c>
      <c r="S172" s="8">
        <f t="shared" si="79"/>
        <v>0</v>
      </c>
      <c r="T172" s="8">
        <f t="shared" si="79"/>
        <v>0</v>
      </c>
      <c r="U172" s="8">
        <f t="shared" si="79"/>
        <v>0</v>
      </c>
      <c r="V172" s="8">
        <f t="shared" si="79"/>
        <v>0</v>
      </c>
      <c r="W172" s="8">
        <f t="shared" si="79"/>
        <v>0</v>
      </c>
      <c r="X172" s="8">
        <f t="shared" si="79"/>
        <v>0</v>
      </c>
      <c r="Y172" s="8">
        <f t="shared" si="79"/>
        <v>0</v>
      </c>
      <c r="Z172" s="8">
        <f t="shared" si="79"/>
        <v>0</v>
      </c>
      <c r="AA172" s="8">
        <f t="shared" si="79"/>
        <v>0</v>
      </c>
      <c r="AB172" s="8">
        <f t="shared" si="79"/>
        <v>0</v>
      </c>
      <c r="AC172" s="35">
        <f t="shared" si="79"/>
        <v>0</v>
      </c>
    </row>
    <row r="173" spans="1:29" ht="45" x14ac:dyDescent="0.2">
      <c r="A173" s="128"/>
      <c r="B173" s="128"/>
      <c r="C173" s="128" t="s">
        <v>123</v>
      </c>
      <c r="D173" s="137" t="s">
        <v>124</v>
      </c>
      <c r="E173" s="62">
        <v>227112</v>
      </c>
      <c r="F173" s="65">
        <v>167412</v>
      </c>
      <c r="G173" s="50">
        <f t="shared" si="77"/>
        <v>0.73713410123639433</v>
      </c>
      <c r="H173" s="65">
        <v>227112</v>
      </c>
      <c r="I173" s="65">
        <v>0</v>
      </c>
      <c r="J173" s="129">
        <f t="shared" si="78"/>
        <v>0</v>
      </c>
      <c r="K173" s="39">
        <f t="shared" si="74"/>
        <v>0</v>
      </c>
      <c r="L173" s="31">
        <f>SUM(M173:Q173)</f>
        <v>0</v>
      </c>
      <c r="M173" s="31"/>
      <c r="N173" s="31"/>
      <c r="O173" s="31"/>
      <c r="P173" s="31"/>
      <c r="Q173" s="31"/>
      <c r="R173" s="31"/>
      <c r="S173" s="31">
        <f>SUM(T173:AC173)</f>
        <v>0</v>
      </c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s="74" customFormat="1" ht="67.5" x14ac:dyDescent="0.2">
      <c r="A174" s="128"/>
      <c r="B174" s="128"/>
      <c r="C174" s="128" t="s">
        <v>291</v>
      </c>
      <c r="D174" s="137" t="s">
        <v>315</v>
      </c>
      <c r="E174" s="62">
        <v>1780</v>
      </c>
      <c r="F174" s="65">
        <v>1780</v>
      </c>
      <c r="G174" s="50">
        <f>F174/E174</f>
        <v>1</v>
      </c>
      <c r="H174" s="65">
        <v>1780</v>
      </c>
      <c r="I174" s="65">
        <v>0</v>
      </c>
      <c r="J174" s="129">
        <v>0</v>
      </c>
      <c r="K174" s="39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3"/>
    </row>
    <row r="175" spans="1:29" ht="20.25" customHeight="1" x14ac:dyDescent="0.2">
      <c r="A175" s="148" t="s">
        <v>181</v>
      </c>
      <c r="B175" s="148"/>
      <c r="C175" s="148"/>
      <c r="D175" s="145" t="s">
        <v>182</v>
      </c>
      <c r="E175" s="149">
        <f>E176+E181+E186+E189+E192</f>
        <v>26643429.25</v>
      </c>
      <c r="F175" s="149">
        <f>F176+F181+F186+F189+F192</f>
        <v>23323329.16</v>
      </c>
      <c r="G175" s="150">
        <f t="shared" si="77"/>
        <v>0.87538765904167537</v>
      </c>
      <c r="H175" s="149">
        <f>H176+H181+H186+H189+H192</f>
        <v>26583121.810000002</v>
      </c>
      <c r="I175" s="149">
        <f>I176+I181+I186+I189+I192</f>
        <v>26608658</v>
      </c>
      <c r="J175" s="151">
        <f>I175/E175</f>
        <v>0.99869494089241539</v>
      </c>
      <c r="K175" s="116" t="e">
        <f>L175+R175+S175</f>
        <v>#REF!</v>
      </c>
      <c r="L175" s="41" t="e">
        <f t="shared" ref="L175:R175" si="80">L176+L181+L186+L189+L192</f>
        <v>#REF!</v>
      </c>
      <c r="M175" s="7" t="e">
        <f t="shared" si="80"/>
        <v>#REF!</v>
      </c>
      <c r="N175" s="7" t="e">
        <f t="shared" si="80"/>
        <v>#REF!</v>
      </c>
      <c r="O175" s="7" t="e">
        <f t="shared" si="80"/>
        <v>#REF!</v>
      </c>
      <c r="P175" s="7" t="e">
        <f t="shared" si="80"/>
        <v>#REF!</v>
      </c>
      <c r="Q175" s="7" t="e">
        <f t="shared" si="80"/>
        <v>#REF!</v>
      </c>
      <c r="R175" s="7" t="e">
        <f t="shared" si="80"/>
        <v>#REF!</v>
      </c>
      <c r="S175" s="7" t="e">
        <f t="shared" ref="S175:AC175" si="81">S176+S181+S186+S189</f>
        <v>#REF!</v>
      </c>
      <c r="T175" s="7" t="e">
        <f t="shared" si="81"/>
        <v>#REF!</v>
      </c>
      <c r="U175" s="7" t="e">
        <f t="shared" si="81"/>
        <v>#REF!</v>
      </c>
      <c r="V175" s="7" t="e">
        <f t="shared" si="81"/>
        <v>#REF!</v>
      </c>
      <c r="W175" s="7" t="e">
        <f t="shared" si="81"/>
        <v>#REF!</v>
      </c>
      <c r="X175" s="7" t="e">
        <f t="shared" si="81"/>
        <v>#REF!</v>
      </c>
      <c r="Y175" s="7" t="e">
        <f t="shared" si="81"/>
        <v>#REF!</v>
      </c>
      <c r="Z175" s="7" t="e">
        <f t="shared" si="81"/>
        <v>#REF!</v>
      </c>
      <c r="AA175" s="7" t="e">
        <f t="shared" si="81"/>
        <v>#REF!</v>
      </c>
      <c r="AB175" s="7" t="e">
        <f t="shared" si="81"/>
        <v>#REF!</v>
      </c>
      <c r="AC175" s="34" t="e">
        <f t="shared" si="81"/>
        <v>#REF!</v>
      </c>
    </row>
    <row r="176" spans="1:29" ht="15" x14ac:dyDescent="0.2">
      <c r="A176" s="127"/>
      <c r="B176" s="155" t="s">
        <v>183</v>
      </c>
      <c r="C176" s="156"/>
      <c r="D176" s="157" t="s">
        <v>184</v>
      </c>
      <c r="E176" s="158">
        <f>E177+E178+E179+E180</f>
        <v>18103837</v>
      </c>
      <c r="F176" s="158">
        <f t="shared" ref="F176:I176" si="82">F177+F178+F179+F180</f>
        <v>16226042.48</v>
      </c>
      <c r="G176" s="159">
        <f>F176/E176</f>
        <v>0.89627643465857543</v>
      </c>
      <c r="H176" s="158">
        <f t="shared" si="82"/>
        <v>18070752.440000001</v>
      </c>
      <c r="I176" s="158">
        <f t="shared" si="82"/>
        <v>19553424</v>
      </c>
      <c r="J176" s="159">
        <f>I176/H176</f>
        <v>1.0820481363420194</v>
      </c>
      <c r="K176" s="114" t="e">
        <f t="shared" si="74"/>
        <v>#REF!</v>
      </c>
      <c r="L176" s="44" t="e">
        <f>L177+L180+#REF!</f>
        <v>#REF!</v>
      </c>
      <c r="M176" s="8" t="e">
        <f>M177+M180+#REF!</f>
        <v>#REF!</v>
      </c>
      <c r="N176" s="8" t="e">
        <f>N177+N180+#REF!</f>
        <v>#REF!</v>
      </c>
      <c r="O176" s="8" t="e">
        <f>O177+O180+#REF!</f>
        <v>#REF!</v>
      </c>
      <c r="P176" s="8" t="e">
        <f>P177+P180+#REF!</f>
        <v>#REF!</v>
      </c>
      <c r="Q176" s="8" t="e">
        <f>Q177+Q180+#REF!</f>
        <v>#REF!</v>
      </c>
      <c r="R176" s="8" t="e">
        <f>R177+R180+#REF!+R178+R179</f>
        <v>#REF!</v>
      </c>
      <c r="S176" s="8" t="e">
        <f>S177+S180+#REF!</f>
        <v>#REF!</v>
      </c>
      <c r="T176" s="8" t="e">
        <f>T177+T180+#REF!</f>
        <v>#REF!</v>
      </c>
      <c r="U176" s="8" t="e">
        <f>U177+U180+#REF!</f>
        <v>#REF!</v>
      </c>
      <c r="V176" s="8" t="e">
        <f>V177+V180+#REF!</f>
        <v>#REF!</v>
      </c>
      <c r="W176" s="8" t="e">
        <f>W177+W180+#REF!</f>
        <v>#REF!</v>
      </c>
      <c r="X176" s="8" t="e">
        <f>X177+X180+#REF!</f>
        <v>#REF!</v>
      </c>
      <c r="Y176" s="8" t="e">
        <f>Y177+Y180+#REF!</f>
        <v>#REF!</v>
      </c>
      <c r="Z176" s="8" t="e">
        <f>Z177+Z180+#REF!</f>
        <v>#REF!</v>
      </c>
      <c r="AA176" s="8" t="e">
        <f>AA177+AA180+#REF!</f>
        <v>#REF!</v>
      </c>
      <c r="AB176" s="8" t="e">
        <f>AB177+AB180+#REF!</f>
        <v>#REF!</v>
      </c>
      <c r="AC176" s="35" t="e">
        <f>AC177+AC180+#REF!</f>
        <v>#REF!</v>
      </c>
    </row>
    <row r="177" spans="1:29" x14ac:dyDescent="0.2">
      <c r="A177" s="128"/>
      <c r="B177" s="128"/>
      <c r="C177" s="128" t="s">
        <v>96</v>
      </c>
      <c r="D177" s="137"/>
      <c r="E177" s="62">
        <v>0</v>
      </c>
      <c r="F177" s="138">
        <v>11.6</v>
      </c>
      <c r="G177" s="67">
        <v>0</v>
      </c>
      <c r="H177" s="65">
        <v>11.6</v>
      </c>
      <c r="I177" s="65">
        <v>0</v>
      </c>
      <c r="J177" s="129">
        <v>0</v>
      </c>
      <c r="K177" s="106">
        <f t="shared" si="74"/>
        <v>0</v>
      </c>
      <c r="L177" s="37">
        <f>SUM(M177:Q177)</f>
        <v>0</v>
      </c>
      <c r="M177" s="31"/>
      <c r="N177" s="31"/>
      <c r="O177" s="31"/>
      <c r="P177" s="31"/>
      <c r="Q177" s="31"/>
      <c r="R177" s="31">
        <v>0</v>
      </c>
      <c r="S177" s="31">
        <f>SUM(T177:AC177)</f>
        <v>0</v>
      </c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s="2" customFormat="1" x14ac:dyDescent="0.2">
      <c r="A178" s="128"/>
      <c r="B178" s="128"/>
      <c r="C178" s="154" t="s">
        <v>119</v>
      </c>
      <c r="D178" s="137" t="s">
        <v>285</v>
      </c>
      <c r="E178" s="62">
        <v>4000</v>
      </c>
      <c r="F178" s="138">
        <v>837.08</v>
      </c>
      <c r="G178" s="67">
        <f>F178/E178</f>
        <v>0.20927000000000001</v>
      </c>
      <c r="H178" s="65">
        <v>1116.1099999999999</v>
      </c>
      <c r="I178" s="65">
        <v>3000</v>
      </c>
      <c r="J178" s="129">
        <v>0</v>
      </c>
      <c r="K178" s="106">
        <f t="shared" si="74"/>
        <v>4000</v>
      </c>
      <c r="L178" s="37"/>
      <c r="M178" s="31"/>
      <c r="N178" s="31"/>
      <c r="O178" s="31"/>
      <c r="P178" s="31"/>
      <c r="Q178" s="31"/>
      <c r="R178" s="82">
        <v>4000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s="2" customFormat="1" x14ac:dyDescent="0.2">
      <c r="A179" s="128"/>
      <c r="B179" s="128"/>
      <c r="C179" s="154" t="s">
        <v>121</v>
      </c>
      <c r="D179" s="137" t="s">
        <v>122</v>
      </c>
      <c r="E179" s="62">
        <v>40000</v>
      </c>
      <c r="F179" s="138">
        <v>7340.8</v>
      </c>
      <c r="G179" s="67">
        <f>F179/E179</f>
        <v>0.18352000000000002</v>
      </c>
      <c r="H179" s="65">
        <v>9787.73</v>
      </c>
      <c r="I179" s="65">
        <v>30000</v>
      </c>
      <c r="J179" s="129">
        <v>0</v>
      </c>
      <c r="K179" s="106">
        <f t="shared" si="74"/>
        <v>40000</v>
      </c>
      <c r="L179" s="37"/>
      <c r="M179" s="31"/>
      <c r="N179" s="31"/>
      <c r="O179" s="31"/>
      <c r="P179" s="31"/>
      <c r="Q179" s="31"/>
      <c r="R179" s="82">
        <v>40000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90" x14ac:dyDescent="0.2">
      <c r="A180" s="128"/>
      <c r="B180" s="128"/>
      <c r="C180" s="128" t="s">
        <v>185</v>
      </c>
      <c r="D180" s="137" t="s">
        <v>186</v>
      </c>
      <c r="E180" s="62">
        <v>18059837</v>
      </c>
      <c r="F180" s="138">
        <v>16217853</v>
      </c>
      <c r="G180" s="67">
        <f t="shared" si="77"/>
        <v>0.89800660991569303</v>
      </c>
      <c r="H180" s="65">
        <v>18059837</v>
      </c>
      <c r="I180" s="65">
        <v>19520424</v>
      </c>
      <c r="J180" s="129">
        <f t="shared" si="78"/>
        <v>1.0808748716835042</v>
      </c>
      <c r="K180" s="106">
        <f t="shared" si="74"/>
        <v>17712550</v>
      </c>
      <c r="L180" s="37">
        <f>SUM(M180:Q180)</f>
        <v>17712550</v>
      </c>
      <c r="M180" s="82">
        <v>17712550</v>
      </c>
      <c r="N180" s="31"/>
      <c r="O180" s="31"/>
      <c r="P180" s="31"/>
      <c r="Q180" s="31"/>
      <c r="R180" s="31"/>
      <c r="S180" s="31">
        <f>SUM(T180:AC180)</f>
        <v>0</v>
      </c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56.25" x14ac:dyDescent="0.2">
      <c r="A181" s="127"/>
      <c r="B181" s="155" t="s">
        <v>187</v>
      </c>
      <c r="C181" s="156"/>
      <c r="D181" s="157" t="s">
        <v>188</v>
      </c>
      <c r="E181" s="158">
        <f>E182+E183+E184+E185</f>
        <v>7668195.2000000002</v>
      </c>
      <c r="F181" s="158">
        <f t="shared" ref="F181:I181" si="83">F182+F183+F184+F185</f>
        <v>6255982.6799999997</v>
      </c>
      <c r="G181" s="159">
        <f>F181/E181</f>
        <v>0.81583508463634302</v>
      </c>
      <c r="H181" s="158">
        <f t="shared" si="83"/>
        <v>7648495.9000000004</v>
      </c>
      <c r="I181" s="158">
        <f t="shared" si="83"/>
        <v>7011066</v>
      </c>
      <c r="J181" s="159">
        <f>I181/H181</f>
        <v>0.91665944411371125</v>
      </c>
      <c r="K181" s="114" t="e">
        <f t="shared" si="74"/>
        <v>#REF!</v>
      </c>
      <c r="L181" s="52" t="e">
        <f>#REF!+L184+L185+#REF!+L182</f>
        <v>#REF!</v>
      </c>
      <c r="M181" s="52" t="e">
        <f>#REF!+M184+M185+#REF!+M182</f>
        <v>#REF!</v>
      </c>
      <c r="N181" s="52" t="e">
        <f>#REF!+N184+N185+#REF!+N182</f>
        <v>#REF!</v>
      </c>
      <c r="O181" s="52" t="e">
        <f>#REF!+O184+O185+#REF!+O182</f>
        <v>#REF!</v>
      </c>
      <c r="P181" s="52" t="e">
        <f>#REF!+P184+P185+#REF!+P182</f>
        <v>#REF!</v>
      </c>
      <c r="Q181" s="52" t="e">
        <f>#REF!+Q184+Q185+#REF!+Q182</f>
        <v>#REF!</v>
      </c>
      <c r="R181" s="52" t="e">
        <f>#REF!+R182+R183+R184+R185+#REF!</f>
        <v>#REF!</v>
      </c>
      <c r="S181" s="52" t="e">
        <f>#REF!+S184+S185+#REF!+S182</f>
        <v>#REF!</v>
      </c>
      <c r="T181" s="52" t="e">
        <f>#REF!+T184+T185+#REF!+T182</f>
        <v>#REF!</v>
      </c>
      <c r="U181" s="52" t="e">
        <f>#REF!+U184+U185+#REF!+U182</f>
        <v>#REF!</v>
      </c>
      <c r="V181" s="52" t="e">
        <f>#REF!+V184+V185+#REF!+V182</f>
        <v>#REF!</v>
      </c>
      <c r="W181" s="52" t="e">
        <f>#REF!+W184+W185+#REF!+W182</f>
        <v>#REF!</v>
      </c>
      <c r="X181" s="52" t="e">
        <f>#REF!+X184+X185+#REF!+X182</f>
        <v>#REF!</v>
      </c>
      <c r="Y181" s="52" t="e">
        <f>#REF!+Y184+Y185+#REF!+Y182</f>
        <v>#REF!</v>
      </c>
      <c r="Z181" s="52" t="e">
        <f>#REF!+Z184+Z185+#REF!+Z182</f>
        <v>#REF!</v>
      </c>
      <c r="AA181" s="52" t="e">
        <f>#REF!+AA184+AA185+#REF!+AA182</f>
        <v>#REF!</v>
      </c>
      <c r="AB181" s="52" t="e">
        <f>#REF!+AB184+AB185+#REF!+AB182</f>
        <v>#REF!</v>
      </c>
      <c r="AC181" s="52" t="e">
        <f>#REF!+AC184+AC185+#REF!+AC182</f>
        <v>#REF!</v>
      </c>
    </row>
    <row r="182" spans="1:29" s="2" customFormat="1" x14ac:dyDescent="0.2">
      <c r="A182" s="128"/>
      <c r="B182" s="128"/>
      <c r="C182" s="154" t="s">
        <v>119</v>
      </c>
      <c r="D182" s="137" t="s">
        <v>120</v>
      </c>
      <c r="E182" s="62">
        <v>5000</v>
      </c>
      <c r="F182" s="65">
        <v>1953.77</v>
      </c>
      <c r="G182" s="50">
        <f>F182/E182</f>
        <v>0.39075399999999999</v>
      </c>
      <c r="H182" s="65">
        <v>2605.0300000000002</v>
      </c>
      <c r="I182" s="65">
        <v>4000</v>
      </c>
      <c r="J182" s="129">
        <v>0</v>
      </c>
      <c r="K182" s="106">
        <f t="shared" si="74"/>
        <v>5000</v>
      </c>
      <c r="L182" s="31"/>
      <c r="M182" s="31"/>
      <c r="N182" s="31"/>
      <c r="O182" s="31"/>
      <c r="P182" s="31"/>
      <c r="Q182" s="31"/>
      <c r="R182" s="82">
        <v>5000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s="2" customFormat="1" x14ac:dyDescent="0.2">
      <c r="A183" s="128"/>
      <c r="B183" s="128"/>
      <c r="C183" s="154" t="s">
        <v>121</v>
      </c>
      <c r="D183" s="137" t="s">
        <v>122</v>
      </c>
      <c r="E183" s="62">
        <v>50000</v>
      </c>
      <c r="F183" s="65">
        <v>24521.75</v>
      </c>
      <c r="G183" s="50">
        <f>F183/E183</f>
        <v>0.49043500000000001</v>
      </c>
      <c r="H183" s="65">
        <v>32695.67</v>
      </c>
      <c r="I183" s="65">
        <v>40000</v>
      </c>
      <c r="J183" s="129">
        <v>0</v>
      </c>
      <c r="K183" s="106">
        <f t="shared" si="74"/>
        <v>50000</v>
      </c>
      <c r="L183" s="31"/>
      <c r="M183" s="31"/>
      <c r="N183" s="31"/>
      <c r="O183" s="31"/>
      <c r="P183" s="31"/>
      <c r="Q183" s="31"/>
      <c r="R183" s="82">
        <v>50000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56.25" x14ac:dyDescent="0.2">
      <c r="A184" s="128"/>
      <c r="B184" s="128"/>
      <c r="C184" s="128" t="s">
        <v>16</v>
      </c>
      <c r="D184" s="137" t="s">
        <v>17</v>
      </c>
      <c r="E184" s="62">
        <v>7501964</v>
      </c>
      <c r="F184" s="65">
        <v>6168248</v>
      </c>
      <c r="G184" s="50">
        <f t="shared" si="77"/>
        <v>0.82221775524382679</v>
      </c>
      <c r="H184" s="65">
        <v>7501964</v>
      </c>
      <c r="I184" s="65">
        <v>6853610</v>
      </c>
      <c r="J184" s="129">
        <f t="shared" si="78"/>
        <v>0.91357543171361522</v>
      </c>
      <c r="K184" s="106">
        <f t="shared" si="74"/>
        <v>7501964</v>
      </c>
      <c r="L184" s="31">
        <f>SUM(M184:Q184)</f>
        <v>7501964</v>
      </c>
      <c r="M184" s="82">
        <v>7501964</v>
      </c>
      <c r="N184" s="31"/>
      <c r="O184" s="31"/>
      <c r="P184" s="31"/>
      <c r="Q184" s="31"/>
      <c r="R184" s="31"/>
      <c r="S184" s="31">
        <f>SUM(T184:AC184)</f>
        <v>0</v>
      </c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45" x14ac:dyDescent="0.2">
      <c r="A185" s="128"/>
      <c r="B185" s="128"/>
      <c r="C185" s="128" t="s">
        <v>170</v>
      </c>
      <c r="D185" s="137" t="s">
        <v>171</v>
      </c>
      <c r="E185" s="62">
        <v>111231.2</v>
      </c>
      <c r="F185" s="65">
        <v>61259.16</v>
      </c>
      <c r="G185" s="50">
        <f t="shared" si="77"/>
        <v>0.55073720323074826</v>
      </c>
      <c r="H185" s="65">
        <v>111231.2</v>
      </c>
      <c r="I185" s="65">
        <v>113456</v>
      </c>
      <c r="J185" s="129">
        <f t="shared" si="78"/>
        <v>1.0200015822898612</v>
      </c>
      <c r="K185" s="106">
        <f t="shared" si="74"/>
        <v>111231.2</v>
      </c>
      <c r="L185" s="31">
        <f>SUM(M185:Q185)</f>
        <v>0</v>
      </c>
      <c r="M185" s="31"/>
      <c r="N185" s="31"/>
      <c r="O185" s="31"/>
      <c r="P185" s="31"/>
      <c r="Q185" s="31"/>
      <c r="R185" s="82">
        <v>111231.2</v>
      </c>
      <c r="S185" s="31">
        <f>SUM(T185:AC185)</f>
        <v>0</v>
      </c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5" x14ac:dyDescent="0.2">
      <c r="A186" s="127"/>
      <c r="B186" s="155" t="s">
        <v>189</v>
      </c>
      <c r="C186" s="156"/>
      <c r="D186" s="157" t="s">
        <v>190</v>
      </c>
      <c r="E186" s="158">
        <f>E187+E188</f>
        <v>650</v>
      </c>
      <c r="F186" s="158">
        <f>F187+F188</f>
        <v>656.54</v>
      </c>
      <c r="G186" s="159">
        <f t="shared" si="77"/>
        <v>1.0100615384615383</v>
      </c>
      <c r="H186" s="158">
        <f>H187+H188</f>
        <v>656.54</v>
      </c>
      <c r="I186" s="158">
        <f>I187+I188</f>
        <v>0</v>
      </c>
      <c r="J186" s="160">
        <f t="shared" si="78"/>
        <v>0</v>
      </c>
      <c r="K186" s="114">
        <f t="shared" si="74"/>
        <v>0</v>
      </c>
      <c r="L186" s="44">
        <f t="shared" ref="L186:AC186" si="84">L187</f>
        <v>0</v>
      </c>
      <c r="M186" s="8">
        <f t="shared" si="84"/>
        <v>0</v>
      </c>
      <c r="N186" s="8">
        <f t="shared" si="84"/>
        <v>0</v>
      </c>
      <c r="O186" s="8">
        <f t="shared" si="84"/>
        <v>0</v>
      </c>
      <c r="P186" s="8">
        <f t="shared" si="84"/>
        <v>0</v>
      </c>
      <c r="Q186" s="8">
        <f t="shared" si="84"/>
        <v>0</v>
      </c>
      <c r="R186" s="8">
        <f t="shared" si="84"/>
        <v>0</v>
      </c>
      <c r="S186" s="8">
        <f t="shared" si="84"/>
        <v>0</v>
      </c>
      <c r="T186" s="8">
        <f t="shared" si="84"/>
        <v>0</v>
      </c>
      <c r="U186" s="8">
        <f t="shared" si="84"/>
        <v>0</v>
      </c>
      <c r="V186" s="8">
        <f t="shared" si="84"/>
        <v>0</v>
      </c>
      <c r="W186" s="8">
        <f t="shared" si="84"/>
        <v>0</v>
      </c>
      <c r="X186" s="8">
        <f t="shared" si="84"/>
        <v>0</v>
      </c>
      <c r="Y186" s="8">
        <f t="shared" si="84"/>
        <v>0</v>
      </c>
      <c r="Z186" s="8">
        <f t="shared" si="84"/>
        <v>0</v>
      </c>
      <c r="AA186" s="8">
        <f t="shared" si="84"/>
        <v>0</v>
      </c>
      <c r="AB186" s="8">
        <f t="shared" si="84"/>
        <v>0</v>
      </c>
      <c r="AC186" s="35">
        <f t="shared" si="84"/>
        <v>0</v>
      </c>
    </row>
    <row r="187" spans="1:29" ht="56.25" x14ac:dyDescent="0.2">
      <c r="A187" s="128"/>
      <c r="B187" s="128"/>
      <c r="C187" s="128" t="s">
        <v>16</v>
      </c>
      <c r="D187" s="137" t="s">
        <v>17</v>
      </c>
      <c r="E187" s="62">
        <v>650</v>
      </c>
      <c r="F187" s="65">
        <v>650</v>
      </c>
      <c r="G187" s="50">
        <f t="shared" si="77"/>
        <v>1</v>
      </c>
      <c r="H187" s="65">
        <v>650</v>
      </c>
      <c r="I187" s="65">
        <v>0</v>
      </c>
      <c r="J187" s="129">
        <f t="shared" si="78"/>
        <v>0</v>
      </c>
      <c r="K187" s="39">
        <f t="shared" si="74"/>
        <v>0</v>
      </c>
      <c r="L187" s="31">
        <f>SUM(M187:Q187)</f>
        <v>0</v>
      </c>
      <c r="M187" s="31"/>
      <c r="N187" s="31"/>
      <c r="O187" s="31"/>
      <c r="P187" s="31"/>
      <c r="Q187" s="31"/>
      <c r="R187" s="31"/>
      <c r="S187" s="31">
        <f>SUM(T187:AC187)</f>
        <v>0</v>
      </c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s="74" customFormat="1" ht="45" x14ac:dyDescent="0.2">
      <c r="A188" s="128"/>
      <c r="B188" s="128"/>
      <c r="C188" s="128" t="s">
        <v>170</v>
      </c>
      <c r="D188" s="137" t="s">
        <v>171</v>
      </c>
      <c r="E188" s="62">
        <v>0</v>
      </c>
      <c r="F188" s="65">
        <v>6.54</v>
      </c>
      <c r="G188" s="50">
        <v>0</v>
      </c>
      <c r="H188" s="65">
        <v>6.54</v>
      </c>
      <c r="I188" s="65">
        <v>0</v>
      </c>
      <c r="J188" s="129">
        <v>0</v>
      </c>
      <c r="K188" s="39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3"/>
    </row>
    <row r="189" spans="1:29" ht="15" x14ac:dyDescent="0.2">
      <c r="A189" s="127"/>
      <c r="B189" s="155" t="s">
        <v>191</v>
      </c>
      <c r="C189" s="156"/>
      <c r="D189" s="157" t="s">
        <v>192</v>
      </c>
      <c r="E189" s="158">
        <f>E190+E191</f>
        <v>779820.05</v>
      </c>
      <c r="F189" s="158">
        <f>F190+F191</f>
        <v>774720.05</v>
      </c>
      <c r="G189" s="159">
        <f t="shared" si="77"/>
        <v>0.99346002965684199</v>
      </c>
      <c r="H189" s="158">
        <f>H190+H191</f>
        <v>774720.05</v>
      </c>
      <c r="I189" s="158">
        <f t="shared" ref="I189:AC189" si="85">I190</f>
        <v>0</v>
      </c>
      <c r="J189" s="160">
        <f t="shared" si="78"/>
        <v>0</v>
      </c>
      <c r="K189" s="114">
        <f t="shared" si="74"/>
        <v>0</v>
      </c>
      <c r="L189" s="44">
        <f t="shared" si="85"/>
        <v>0</v>
      </c>
      <c r="M189" s="8">
        <f t="shared" si="85"/>
        <v>0</v>
      </c>
      <c r="N189" s="8">
        <f t="shared" si="85"/>
        <v>0</v>
      </c>
      <c r="O189" s="8">
        <f t="shared" si="85"/>
        <v>0</v>
      </c>
      <c r="P189" s="8">
        <f t="shared" si="85"/>
        <v>0</v>
      </c>
      <c r="Q189" s="8">
        <f t="shared" si="85"/>
        <v>0</v>
      </c>
      <c r="R189" s="8">
        <f t="shared" si="85"/>
        <v>0</v>
      </c>
      <c r="S189" s="8">
        <f t="shared" si="85"/>
        <v>0</v>
      </c>
      <c r="T189" s="8">
        <f t="shared" si="85"/>
        <v>0</v>
      </c>
      <c r="U189" s="8">
        <f t="shared" si="85"/>
        <v>0</v>
      </c>
      <c r="V189" s="8">
        <f t="shared" si="85"/>
        <v>0</v>
      </c>
      <c r="W189" s="8">
        <f t="shared" si="85"/>
        <v>0</v>
      </c>
      <c r="X189" s="8">
        <f t="shared" si="85"/>
        <v>0</v>
      </c>
      <c r="Y189" s="8">
        <f t="shared" si="85"/>
        <v>0</v>
      </c>
      <c r="Z189" s="8">
        <f t="shared" si="85"/>
        <v>0</v>
      </c>
      <c r="AA189" s="8">
        <f t="shared" si="85"/>
        <v>0</v>
      </c>
      <c r="AB189" s="8">
        <f t="shared" si="85"/>
        <v>0</v>
      </c>
      <c r="AC189" s="35">
        <f t="shared" si="85"/>
        <v>0</v>
      </c>
    </row>
    <row r="190" spans="1:29" ht="56.25" x14ac:dyDescent="0.2">
      <c r="A190" s="128"/>
      <c r="B190" s="128"/>
      <c r="C190" s="128" t="s">
        <v>16</v>
      </c>
      <c r="D190" s="137" t="s">
        <v>17</v>
      </c>
      <c r="E190" s="62">
        <v>774720.05</v>
      </c>
      <c r="F190" s="65">
        <v>774720.05</v>
      </c>
      <c r="G190" s="50">
        <f t="shared" si="77"/>
        <v>1</v>
      </c>
      <c r="H190" s="65">
        <v>774720.05</v>
      </c>
      <c r="I190" s="65">
        <f>K190</f>
        <v>0</v>
      </c>
      <c r="J190" s="129">
        <f t="shared" si="78"/>
        <v>0</v>
      </c>
      <c r="K190" s="39">
        <f t="shared" si="74"/>
        <v>0</v>
      </c>
      <c r="L190" s="31">
        <f>SUM(M190:Q190)</f>
        <v>0</v>
      </c>
      <c r="M190" s="31">
        <v>0</v>
      </c>
      <c r="N190" s="31"/>
      <c r="O190" s="31"/>
      <c r="P190" s="31"/>
      <c r="Q190" s="31"/>
      <c r="R190" s="31"/>
      <c r="S190" s="31">
        <f>SUM(T190:AC190)</f>
        <v>0</v>
      </c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s="74" customFormat="1" ht="45" x14ac:dyDescent="0.2">
      <c r="A191" s="128"/>
      <c r="B191" s="128"/>
      <c r="C191" s="128" t="s">
        <v>123</v>
      </c>
      <c r="D191" s="137" t="s">
        <v>124</v>
      </c>
      <c r="E191" s="62">
        <v>5100</v>
      </c>
      <c r="F191" s="65">
        <v>0</v>
      </c>
      <c r="G191" s="50">
        <f t="shared" si="77"/>
        <v>0</v>
      </c>
      <c r="H191" s="65">
        <v>0</v>
      </c>
      <c r="I191" s="65">
        <v>0</v>
      </c>
      <c r="J191" s="129">
        <v>0</v>
      </c>
      <c r="K191" s="39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3"/>
    </row>
    <row r="192" spans="1:29" s="74" customFormat="1" ht="90" x14ac:dyDescent="0.2">
      <c r="A192" s="127"/>
      <c r="B192" s="155" t="s">
        <v>286</v>
      </c>
      <c r="C192" s="156"/>
      <c r="D192" s="157" t="s">
        <v>287</v>
      </c>
      <c r="E192" s="158">
        <f>E194+E193</f>
        <v>90927</v>
      </c>
      <c r="F192" s="158">
        <f>F194+F193</f>
        <v>65927.41</v>
      </c>
      <c r="G192" s="159">
        <f>F192/E192</f>
        <v>0.72505867344133212</v>
      </c>
      <c r="H192" s="158">
        <f>H194+H193</f>
        <v>88496.88</v>
      </c>
      <c r="I192" s="158">
        <f>I194+I193</f>
        <v>44168</v>
      </c>
      <c r="J192" s="160">
        <f>I192/H192</f>
        <v>0.49909104140168553</v>
      </c>
      <c r="K192" s="114">
        <f t="shared" ref="K192:K194" si="86">L192+R192+S192</f>
        <v>60927</v>
      </c>
      <c r="L192" s="44">
        <f t="shared" ref="L192:AC192" si="87">L194</f>
        <v>60927</v>
      </c>
      <c r="M192" s="8">
        <f t="shared" si="87"/>
        <v>60927</v>
      </c>
      <c r="N192" s="8">
        <f t="shared" si="87"/>
        <v>0</v>
      </c>
      <c r="O192" s="8">
        <f t="shared" si="87"/>
        <v>0</v>
      </c>
      <c r="P192" s="8">
        <f t="shared" si="87"/>
        <v>0</v>
      </c>
      <c r="Q192" s="8">
        <f t="shared" si="87"/>
        <v>0</v>
      </c>
      <c r="R192" s="8">
        <f t="shared" si="87"/>
        <v>0</v>
      </c>
      <c r="S192" s="8">
        <f t="shared" si="87"/>
        <v>0</v>
      </c>
      <c r="T192" s="8">
        <f t="shared" si="87"/>
        <v>0</v>
      </c>
      <c r="U192" s="8">
        <f t="shared" si="87"/>
        <v>0</v>
      </c>
      <c r="V192" s="8">
        <f t="shared" si="87"/>
        <v>0</v>
      </c>
      <c r="W192" s="8">
        <f t="shared" si="87"/>
        <v>0</v>
      </c>
      <c r="X192" s="8">
        <f t="shared" si="87"/>
        <v>0</v>
      </c>
      <c r="Y192" s="8">
        <f t="shared" si="87"/>
        <v>0</v>
      </c>
      <c r="Z192" s="8">
        <f t="shared" si="87"/>
        <v>0</v>
      </c>
      <c r="AA192" s="8">
        <f t="shared" si="87"/>
        <v>0</v>
      </c>
      <c r="AB192" s="8">
        <f t="shared" si="87"/>
        <v>0</v>
      </c>
      <c r="AC192" s="35">
        <f t="shared" si="87"/>
        <v>0</v>
      </c>
    </row>
    <row r="193" spans="1:29" s="74" customFormat="1" ht="15" x14ac:dyDescent="0.2">
      <c r="A193" s="127"/>
      <c r="B193" s="128"/>
      <c r="C193" s="130" t="s">
        <v>121</v>
      </c>
      <c r="D193" s="137" t="s">
        <v>122</v>
      </c>
      <c r="E193" s="62">
        <v>3000</v>
      </c>
      <c r="F193" s="62">
        <v>427.41</v>
      </c>
      <c r="G193" s="50">
        <f>F193/E193</f>
        <v>0.14247000000000001</v>
      </c>
      <c r="H193" s="62">
        <v>569.88</v>
      </c>
      <c r="I193" s="62">
        <v>500</v>
      </c>
      <c r="J193" s="129">
        <f>I193/H193</f>
        <v>0.87737769354951922</v>
      </c>
      <c r="K193" s="43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6"/>
    </row>
    <row r="194" spans="1:29" s="74" customFormat="1" ht="56.25" x14ac:dyDescent="0.2">
      <c r="A194" s="128"/>
      <c r="B194" s="128"/>
      <c r="C194" s="128" t="s">
        <v>16</v>
      </c>
      <c r="D194" s="137" t="s">
        <v>17</v>
      </c>
      <c r="E194" s="62">
        <v>87927</v>
      </c>
      <c r="F194" s="65">
        <v>65500</v>
      </c>
      <c r="G194" s="50">
        <f>F194/E194</f>
        <v>0.74493614020721732</v>
      </c>
      <c r="H194" s="65">
        <v>87927</v>
      </c>
      <c r="I194" s="65">
        <v>43668</v>
      </c>
      <c r="J194" s="129">
        <f>I194/E194</f>
        <v>0.49663925756593535</v>
      </c>
      <c r="K194" s="39">
        <f t="shared" si="86"/>
        <v>60927</v>
      </c>
      <c r="L194" s="31">
        <f>SUM(M194:Q194)</f>
        <v>60927</v>
      </c>
      <c r="M194" s="82">
        <v>60927</v>
      </c>
      <c r="N194" s="31"/>
      <c r="O194" s="31"/>
      <c r="P194" s="31"/>
      <c r="Q194" s="31"/>
      <c r="R194" s="31"/>
      <c r="S194" s="31">
        <f>SUM(T194:AC194)</f>
        <v>0</v>
      </c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22.5" x14ac:dyDescent="0.2">
      <c r="A195" s="148" t="s">
        <v>193</v>
      </c>
      <c r="B195" s="148"/>
      <c r="C195" s="148"/>
      <c r="D195" s="145" t="s">
        <v>194</v>
      </c>
      <c r="E195" s="149">
        <f>E196+E198+E203+E205+E207+E209+E212</f>
        <v>4964274.3099999996</v>
      </c>
      <c r="F195" s="149">
        <f t="shared" ref="F195:I195" si="88">F196+F198+F203+F205+F207+F209+F212</f>
        <v>3774520.4699999997</v>
      </c>
      <c r="G195" s="150">
        <f>F195/E195</f>
        <v>0.76033680540106985</v>
      </c>
      <c r="H195" s="149">
        <f t="shared" si="88"/>
        <v>4929633.5799999991</v>
      </c>
      <c r="I195" s="149">
        <f t="shared" si="88"/>
        <v>5043809.5199999996</v>
      </c>
      <c r="J195" s="150">
        <f>I195/E195</f>
        <v>1.0160215179567706</v>
      </c>
      <c r="K195" s="116" t="e">
        <f t="shared" si="74"/>
        <v>#REF!</v>
      </c>
      <c r="L195" s="41" t="e">
        <f t="shared" ref="L195:AC195" si="89">L198+L209+L212</f>
        <v>#REF!</v>
      </c>
      <c r="M195" s="7" t="e">
        <f t="shared" si="89"/>
        <v>#REF!</v>
      </c>
      <c r="N195" s="7" t="e">
        <f t="shared" si="89"/>
        <v>#REF!</v>
      </c>
      <c r="O195" s="7" t="e">
        <f t="shared" si="89"/>
        <v>#REF!</v>
      </c>
      <c r="P195" s="7" t="e">
        <f t="shared" si="89"/>
        <v>#REF!</v>
      </c>
      <c r="Q195" s="7" t="e">
        <f t="shared" si="89"/>
        <v>#REF!</v>
      </c>
      <c r="R195" s="7" t="e">
        <f t="shared" si="89"/>
        <v>#REF!</v>
      </c>
      <c r="S195" s="7" t="e">
        <f t="shared" si="89"/>
        <v>#REF!</v>
      </c>
      <c r="T195" s="7" t="e">
        <f t="shared" si="89"/>
        <v>#REF!</v>
      </c>
      <c r="U195" s="7" t="e">
        <f t="shared" si="89"/>
        <v>#REF!</v>
      </c>
      <c r="V195" s="7" t="e">
        <f t="shared" si="89"/>
        <v>#REF!</v>
      </c>
      <c r="W195" s="7" t="e">
        <f t="shared" si="89"/>
        <v>#REF!</v>
      </c>
      <c r="X195" s="7" t="e">
        <f t="shared" si="89"/>
        <v>#REF!</v>
      </c>
      <c r="Y195" s="7" t="e">
        <f t="shared" si="89"/>
        <v>#REF!</v>
      </c>
      <c r="Z195" s="7" t="e">
        <f t="shared" si="89"/>
        <v>#REF!</v>
      </c>
      <c r="AA195" s="7" t="e">
        <f t="shared" si="89"/>
        <v>#REF!</v>
      </c>
      <c r="AB195" s="7" t="e">
        <f t="shared" si="89"/>
        <v>#REF!</v>
      </c>
      <c r="AC195" s="34" t="e">
        <f t="shared" si="89"/>
        <v>#REF!</v>
      </c>
    </row>
    <row r="196" spans="1:29" s="74" customFormat="1" x14ac:dyDescent="0.2">
      <c r="A196" s="146"/>
      <c r="B196" s="155" t="s">
        <v>227</v>
      </c>
      <c r="C196" s="155"/>
      <c r="D196" s="157" t="s">
        <v>228</v>
      </c>
      <c r="E196" s="158">
        <f>E197</f>
        <v>0</v>
      </c>
      <c r="F196" s="158">
        <f>F197</f>
        <v>1000</v>
      </c>
      <c r="G196" s="159">
        <v>0</v>
      </c>
      <c r="H196" s="158">
        <f>H197</f>
        <v>1000</v>
      </c>
      <c r="I196" s="158">
        <f>I197</f>
        <v>0</v>
      </c>
      <c r="J196" s="160">
        <v>0</v>
      </c>
      <c r="K196" s="116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1:29" s="74" customFormat="1" ht="33.75" x14ac:dyDescent="0.2">
      <c r="A197" s="146"/>
      <c r="B197" s="128"/>
      <c r="C197" s="128" t="s">
        <v>283</v>
      </c>
      <c r="D197" s="137" t="s">
        <v>284</v>
      </c>
      <c r="E197" s="62">
        <v>0</v>
      </c>
      <c r="F197" s="62">
        <v>1000</v>
      </c>
      <c r="G197" s="50">
        <v>0</v>
      </c>
      <c r="H197" s="62">
        <v>1000</v>
      </c>
      <c r="I197" s="62">
        <v>0</v>
      </c>
      <c r="J197" s="129">
        <v>0</v>
      </c>
      <c r="K197" s="116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1:29" ht="15" x14ac:dyDescent="0.2">
      <c r="A198" s="127"/>
      <c r="B198" s="155" t="s">
        <v>195</v>
      </c>
      <c r="C198" s="156"/>
      <c r="D198" s="157" t="s">
        <v>196</v>
      </c>
      <c r="E198" s="158">
        <f>E199+E200+E201+E202</f>
        <v>4876814.3099999996</v>
      </c>
      <c r="F198" s="158">
        <f>F199+F200+F201+F202</f>
        <v>3731030.3</v>
      </c>
      <c r="G198" s="159">
        <f t="shared" si="77"/>
        <v>0.76505482120765844</v>
      </c>
      <c r="H198" s="158">
        <f>H199+H200+H201+H202</f>
        <v>4885910.3499999996</v>
      </c>
      <c r="I198" s="158">
        <f>I199+I200+I201+I202</f>
        <v>4976809.5199999996</v>
      </c>
      <c r="J198" s="160">
        <f t="shared" si="78"/>
        <v>1.0205042069768697</v>
      </c>
      <c r="K198" s="114" t="e">
        <f t="shared" si="74"/>
        <v>#REF!</v>
      </c>
      <c r="L198" s="44" t="e">
        <f>L199+L200+L201+L202+#REF!</f>
        <v>#REF!</v>
      </c>
      <c r="M198" s="44">
        <f>M199+M200+M201+M202</f>
        <v>0</v>
      </c>
      <c r="N198" s="44" t="e">
        <f>N199+N200+N201+N202+#REF!</f>
        <v>#REF!</v>
      </c>
      <c r="O198" s="44">
        <f t="shared" ref="O198:AC198" si="90">O199+O200+O201+O202</f>
        <v>0</v>
      </c>
      <c r="P198" s="44">
        <f t="shared" si="90"/>
        <v>0</v>
      </c>
      <c r="Q198" s="44">
        <f t="shared" si="90"/>
        <v>0</v>
      </c>
      <c r="R198" s="44">
        <f t="shared" si="90"/>
        <v>0</v>
      </c>
      <c r="S198" s="44">
        <f t="shared" si="90"/>
        <v>0</v>
      </c>
      <c r="T198" s="44">
        <f t="shared" si="90"/>
        <v>0</v>
      </c>
      <c r="U198" s="44">
        <f t="shared" si="90"/>
        <v>0</v>
      </c>
      <c r="V198" s="44">
        <f t="shared" si="90"/>
        <v>0</v>
      </c>
      <c r="W198" s="44">
        <f t="shared" si="90"/>
        <v>0</v>
      </c>
      <c r="X198" s="44">
        <f t="shared" si="90"/>
        <v>0</v>
      </c>
      <c r="Y198" s="44">
        <f t="shared" si="90"/>
        <v>0</v>
      </c>
      <c r="Z198" s="44">
        <f t="shared" si="90"/>
        <v>0</v>
      </c>
      <c r="AA198" s="44">
        <f t="shared" si="90"/>
        <v>0</v>
      </c>
      <c r="AB198" s="44">
        <f t="shared" si="90"/>
        <v>0</v>
      </c>
      <c r="AC198" s="44">
        <f t="shared" si="90"/>
        <v>0</v>
      </c>
    </row>
    <row r="199" spans="1:29" ht="45" x14ac:dyDescent="0.2">
      <c r="A199" s="128"/>
      <c r="B199" s="128"/>
      <c r="C199" s="128" t="s">
        <v>31</v>
      </c>
      <c r="D199" s="137" t="s">
        <v>32</v>
      </c>
      <c r="E199" s="62">
        <v>4864814.3099999996</v>
      </c>
      <c r="F199" s="65">
        <v>3710124.93</v>
      </c>
      <c r="G199" s="50">
        <f t="shared" si="77"/>
        <v>0.76264471644345255</v>
      </c>
      <c r="H199" s="65">
        <v>4864814.3099999996</v>
      </c>
      <c r="I199" s="65">
        <v>4964809.5199999996</v>
      </c>
      <c r="J199" s="129">
        <f t="shared" si="78"/>
        <v>1.0205547845463396</v>
      </c>
      <c r="K199" s="106">
        <f t="shared" si="74"/>
        <v>4533314.3099999996</v>
      </c>
      <c r="L199" s="31">
        <f>SUM(M199:Q199)</f>
        <v>4533314.3099999996</v>
      </c>
      <c r="M199" s="31"/>
      <c r="N199" s="82">
        <v>4533314.3099999996</v>
      </c>
      <c r="O199" s="31"/>
      <c r="P199" s="31"/>
      <c r="Q199" s="31"/>
      <c r="R199" s="31"/>
      <c r="S199" s="31">
        <f>SUM(T199:AC199)</f>
        <v>0</v>
      </c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22.5" x14ac:dyDescent="0.2">
      <c r="A200" s="128"/>
      <c r="B200" s="128"/>
      <c r="C200" s="128" t="s">
        <v>96</v>
      </c>
      <c r="D200" s="137" t="s">
        <v>97</v>
      </c>
      <c r="E200" s="62">
        <v>12000</v>
      </c>
      <c r="F200" s="65">
        <v>11809.33</v>
      </c>
      <c r="G200" s="50">
        <f t="shared" si="77"/>
        <v>0.98411083333333338</v>
      </c>
      <c r="H200" s="65">
        <v>12000</v>
      </c>
      <c r="I200" s="65">
        <v>12000</v>
      </c>
      <c r="J200" s="129">
        <f t="shared" si="78"/>
        <v>1</v>
      </c>
      <c r="K200" s="39">
        <f t="shared" si="74"/>
        <v>0</v>
      </c>
      <c r="L200" s="32">
        <f>SUM(M200:Q200)</f>
        <v>0</v>
      </c>
      <c r="M200" s="32"/>
      <c r="N200" s="32">
        <v>0</v>
      </c>
      <c r="O200" s="32"/>
      <c r="P200" s="32"/>
      <c r="Q200" s="32"/>
      <c r="R200" s="32"/>
      <c r="S200" s="32">
        <f>SUM(T200:AC200)</f>
        <v>0</v>
      </c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s="2" customFormat="1" ht="67.5" x14ac:dyDescent="0.2">
      <c r="A201" s="128"/>
      <c r="B201" s="128"/>
      <c r="C201" s="154" t="s">
        <v>14</v>
      </c>
      <c r="D201" s="137" t="s">
        <v>15</v>
      </c>
      <c r="E201" s="62">
        <v>0</v>
      </c>
      <c r="F201" s="65">
        <v>519.51</v>
      </c>
      <c r="G201" s="50">
        <v>0</v>
      </c>
      <c r="H201" s="65">
        <v>519.51</v>
      </c>
      <c r="I201" s="65">
        <v>0</v>
      </c>
      <c r="J201" s="129">
        <v>0</v>
      </c>
      <c r="K201" s="39">
        <f t="shared" si="74"/>
        <v>0</v>
      </c>
      <c r="L201" s="84">
        <f t="shared" ref="L201:L202" si="91">SUM(M201:Q201)</f>
        <v>0</v>
      </c>
      <c r="M201" s="61"/>
      <c r="N201" s="61"/>
      <c r="O201" s="61"/>
      <c r="P201" s="6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s="2" customFormat="1" ht="22.5" x14ac:dyDescent="0.2">
      <c r="A202" s="128"/>
      <c r="B202" s="128"/>
      <c r="C202" s="154" t="s">
        <v>86</v>
      </c>
      <c r="D202" s="137" t="s">
        <v>87</v>
      </c>
      <c r="E202" s="62">
        <v>0</v>
      </c>
      <c r="F202" s="65">
        <v>8576.5300000000007</v>
      </c>
      <c r="G202" s="50">
        <v>0</v>
      </c>
      <c r="H202" s="65">
        <v>8576.5300000000007</v>
      </c>
      <c r="I202" s="65">
        <v>0</v>
      </c>
      <c r="J202" s="129">
        <v>0</v>
      </c>
      <c r="K202" s="39">
        <f t="shared" si="74"/>
        <v>0</v>
      </c>
      <c r="L202" s="32">
        <f t="shared" si="91"/>
        <v>0</v>
      </c>
      <c r="M202" s="31"/>
      <c r="N202" s="31"/>
      <c r="O202" s="31"/>
      <c r="P202" s="31">
        <v>0</v>
      </c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s="74" customFormat="1" x14ac:dyDescent="0.2">
      <c r="A203" s="128"/>
      <c r="B203" s="155" t="s">
        <v>229</v>
      </c>
      <c r="C203" s="161"/>
      <c r="D203" s="157" t="s">
        <v>230</v>
      </c>
      <c r="E203" s="158">
        <f>E204</f>
        <v>18360</v>
      </c>
      <c r="F203" s="158">
        <f>F204</f>
        <v>18360</v>
      </c>
      <c r="G203" s="159">
        <f>F203/E203</f>
        <v>1</v>
      </c>
      <c r="H203" s="162">
        <f>H204</f>
        <v>18360</v>
      </c>
      <c r="I203" s="162">
        <f>I204</f>
        <v>0</v>
      </c>
      <c r="J203" s="160">
        <v>0</v>
      </c>
      <c r="K203" s="39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3"/>
    </row>
    <row r="204" spans="1:29" s="74" customFormat="1" ht="45" x14ac:dyDescent="0.2">
      <c r="A204" s="128"/>
      <c r="B204" s="128"/>
      <c r="C204" s="154" t="s">
        <v>8</v>
      </c>
      <c r="D204" s="137" t="s">
        <v>9</v>
      </c>
      <c r="E204" s="62">
        <v>18360</v>
      </c>
      <c r="F204" s="65">
        <v>18360</v>
      </c>
      <c r="G204" s="50">
        <f>F204/E204</f>
        <v>1</v>
      </c>
      <c r="H204" s="65">
        <v>18360</v>
      </c>
      <c r="I204" s="65">
        <v>0</v>
      </c>
      <c r="J204" s="129">
        <v>0</v>
      </c>
      <c r="K204" s="39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3"/>
    </row>
    <row r="205" spans="1:29" s="74" customFormat="1" x14ac:dyDescent="0.2">
      <c r="A205" s="128"/>
      <c r="B205" s="155" t="s">
        <v>231</v>
      </c>
      <c r="C205" s="161"/>
      <c r="D205" s="157" t="s">
        <v>316</v>
      </c>
      <c r="E205" s="158">
        <f>E206</f>
        <v>2100</v>
      </c>
      <c r="F205" s="158">
        <f t="shared" ref="F205:J205" si="92">F206</f>
        <v>2100</v>
      </c>
      <c r="G205" s="159">
        <f>F205/E205</f>
        <v>1</v>
      </c>
      <c r="H205" s="158">
        <f t="shared" si="92"/>
        <v>2100</v>
      </c>
      <c r="I205" s="158">
        <f t="shared" si="92"/>
        <v>0</v>
      </c>
      <c r="J205" s="158">
        <f t="shared" si="92"/>
        <v>0</v>
      </c>
      <c r="K205" s="39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3"/>
    </row>
    <row r="206" spans="1:29" s="74" customFormat="1" ht="67.5" x14ac:dyDescent="0.2">
      <c r="A206" s="128"/>
      <c r="B206" s="128"/>
      <c r="C206" s="154" t="s">
        <v>158</v>
      </c>
      <c r="D206" s="137" t="s">
        <v>159</v>
      </c>
      <c r="E206" s="62">
        <v>2100</v>
      </c>
      <c r="F206" s="65">
        <v>2100</v>
      </c>
      <c r="G206" s="50">
        <f>F206/E206</f>
        <v>1</v>
      </c>
      <c r="H206" s="65">
        <v>2100</v>
      </c>
      <c r="I206" s="65">
        <v>0</v>
      </c>
      <c r="J206" s="129">
        <v>0</v>
      </c>
      <c r="K206" s="39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3"/>
    </row>
    <row r="207" spans="1:29" s="74" customFormat="1" x14ac:dyDescent="0.2">
      <c r="A207" s="128"/>
      <c r="B207" s="155" t="s">
        <v>232</v>
      </c>
      <c r="C207" s="161"/>
      <c r="D207" s="157" t="s">
        <v>233</v>
      </c>
      <c r="E207" s="158">
        <f>E208</f>
        <v>0</v>
      </c>
      <c r="F207" s="158">
        <f>F208</f>
        <v>608.14</v>
      </c>
      <c r="G207" s="159">
        <v>0</v>
      </c>
      <c r="H207" s="162">
        <f>H208</f>
        <v>608.14</v>
      </c>
      <c r="I207" s="162">
        <f>I208</f>
        <v>0</v>
      </c>
      <c r="J207" s="160">
        <v>0</v>
      </c>
      <c r="K207" s="39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3"/>
    </row>
    <row r="208" spans="1:29" s="74" customFormat="1" ht="22.5" x14ac:dyDescent="0.2">
      <c r="A208" s="128"/>
      <c r="B208" s="128"/>
      <c r="C208" s="154" t="s">
        <v>290</v>
      </c>
      <c r="D208" s="137" t="s">
        <v>313</v>
      </c>
      <c r="E208" s="62">
        <v>0</v>
      </c>
      <c r="F208" s="65">
        <v>608.14</v>
      </c>
      <c r="G208" s="50">
        <v>0</v>
      </c>
      <c r="H208" s="65">
        <v>608.14</v>
      </c>
      <c r="I208" s="65">
        <v>0</v>
      </c>
      <c r="J208" s="129">
        <v>0</v>
      </c>
      <c r="K208" s="39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3"/>
    </row>
    <row r="209" spans="1:29" ht="33.75" x14ac:dyDescent="0.2">
      <c r="A209" s="127"/>
      <c r="B209" s="155" t="s">
        <v>197</v>
      </c>
      <c r="C209" s="156"/>
      <c r="D209" s="157" t="s">
        <v>198</v>
      </c>
      <c r="E209" s="158">
        <f>E211+E210</f>
        <v>55000</v>
      </c>
      <c r="F209" s="158">
        <f>F211+F210</f>
        <v>20722.84</v>
      </c>
      <c r="G209" s="159">
        <f t="shared" si="77"/>
        <v>0.37677890909090911</v>
      </c>
      <c r="H209" s="158">
        <f>H211+H210</f>
        <v>20722.84</v>
      </c>
      <c r="I209" s="158">
        <f>I211+I210</f>
        <v>55000</v>
      </c>
      <c r="J209" s="160">
        <f t="shared" si="78"/>
        <v>1</v>
      </c>
      <c r="K209" s="113">
        <f t="shared" si="74"/>
        <v>20000</v>
      </c>
      <c r="L209" s="55">
        <f t="shared" ref="L209:AC209" si="93">L211</f>
        <v>20000</v>
      </c>
      <c r="M209" s="54">
        <f t="shared" si="93"/>
        <v>0</v>
      </c>
      <c r="N209" s="54">
        <f t="shared" si="93"/>
        <v>20000</v>
      </c>
      <c r="O209" s="54">
        <f t="shared" si="93"/>
        <v>0</v>
      </c>
      <c r="P209" s="54">
        <f t="shared" si="93"/>
        <v>0</v>
      </c>
      <c r="Q209" s="54">
        <f t="shared" si="93"/>
        <v>0</v>
      </c>
      <c r="R209" s="54">
        <f t="shared" si="93"/>
        <v>0</v>
      </c>
      <c r="S209" s="54">
        <f t="shared" si="93"/>
        <v>0</v>
      </c>
      <c r="T209" s="54">
        <f t="shared" si="93"/>
        <v>0</v>
      </c>
      <c r="U209" s="54">
        <f t="shared" si="93"/>
        <v>0</v>
      </c>
      <c r="V209" s="54">
        <f t="shared" si="93"/>
        <v>0</v>
      </c>
      <c r="W209" s="54">
        <f t="shared" si="93"/>
        <v>0</v>
      </c>
      <c r="X209" s="54">
        <f t="shared" si="93"/>
        <v>0</v>
      </c>
      <c r="Y209" s="54">
        <f t="shared" si="93"/>
        <v>0</v>
      </c>
      <c r="Z209" s="54">
        <f t="shared" si="93"/>
        <v>0</v>
      </c>
      <c r="AA209" s="54">
        <f t="shared" si="93"/>
        <v>0</v>
      </c>
      <c r="AB209" s="54">
        <f t="shared" si="93"/>
        <v>0</v>
      </c>
      <c r="AC209" s="56">
        <f t="shared" si="93"/>
        <v>0</v>
      </c>
    </row>
    <row r="210" spans="1:29" s="74" customFormat="1" ht="22.5" x14ac:dyDescent="0.2">
      <c r="A210" s="127"/>
      <c r="B210" s="128"/>
      <c r="C210" s="130" t="s">
        <v>54</v>
      </c>
      <c r="D210" s="137" t="s">
        <v>55</v>
      </c>
      <c r="E210" s="62">
        <v>0</v>
      </c>
      <c r="F210" s="62">
        <v>200</v>
      </c>
      <c r="G210" s="50">
        <v>0</v>
      </c>
      <c r="H210" s="62">
        <v>200</v>
      </c>
      <c r="I210" s="62">
        <v>0</v>
      </c>
      <c r="J210" s="129">
        <v>0</v>
      </c>
      <c r="K210" s="43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6"/>
    </row>
    <row r="211" spans="1:29" x14ac:dyDescent="0.2">
      <c r="A211" s="128"/>
      <c r="B211" s="128"/>
      <c r="C211" s="128" t="s">
        <v>21</v>
      </c>
      <c r="D211" s="137" t="s">
        <v>22</v>
      </c>
      <c r="E211" s="62">
        <v>55000</v>
      </c>
      <c r="F211" s="65">
        <v>20522.84</v>
      </c>
      <c r="G211" s="50">
        <f t="shared" si="77"/>
        <v>0.37314254545454545</v>
      </c>
      <c r="H211" s="65">
        <v>20522.84</v>
      </c>
      <c r="I211" s="65">
        <v>55000</v>
      </c>
      <c r="J211" s="129">
        <f t="shared" si="78"/>
        <v>1</v>
      </c>
      <c r="K211" s="39">
        <f t="shared" si="74"/>
        <v>20000</v>
      </c>
      <c r="L211" s="31">
        <f>SUM(M211:Q211)</f>
        <v>20000</v>
      </c>
      <c r="M211" s="31"/>
      <c r="N211" s="82">
        <v>20000</v>
      </c>
      <c r="O211" s="31"/>
      <c r="P211" s="31"/>
      <c r="Q211" s="31"/>
      <c r="R211" s="31"/>
      <c r="S211" s="31">
        <f>SUM(T211:AC211)</f>
        <v>0</v>
      </c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5" x14ac:dyDescent="0.2">
      <c r="A212" s="127"/>
      <c r="B212" s="155" t="s">
        <v>199</v>
      </c>
      <c r="C212" s="156"/>
      <c r="D212" s="157" t="s">
        <v>13</v>
      </c>
      <c r="E212" s="158">
        <f>E213</f>
        <v>12000</v>
      </c>
      <c r="F212" s="158">
        <f t="shared" ref="F212:I212" si="94">F213</f>
        <v>699.19</v>
      </c>
      <c r="G212" s="159">
        <f>F212/E212</f>
        <v>5.8265833333333336E-2</v>
      </c>
      <c r="H212" s="158">
        <f t="shared" si="94"/>
        <v>932.25</v>
      </c>
      <c r="I212" s="158">
        <f t="shared" si="94"/>
        <v>12000</v>
      </c>
      <c r="J212" s="159">
        <f>I212/H212</f>
        <v>12.872083668543846</v>
      </c>
      <c r="K212" s="114" t="e">
        <f t="shared" si="74"/>
        <v>#REF!</v>
      </c>
      <c r="L212" s="44" t="e">
        <f>L213+#REF!</f>
        <v>#REF!</v>
      </c>
      <c r="M212" s="44" t="e">
        <f>M213+#REF!</f>
        <v>#REF!</v>
      </c>
      <c r="N212" s="44" t="e">
        <f>N213+#REF!</f>
        <v>#REF!</v>
      </c>
      <c r="O212" s="44" t="e">
        <f>O213+#REF!</f>
        <v>#REF!</v>
      </c>
      <c r="P212" s="44" t="e">
        <f>P213+#REF!</f>
        <v>#REF!</v>
      </c>
      <c r="Q212" s="44" t="e">
        <f>Q213+#REF!</f>
        <v>#REF!</v>
      </c>
      <c r="R212" s="44" t="e">
        <f>R213+#REF!</f>
        <v>#REF!</v>
      </c>
      <c r="S212" s="44" t="e">
        <f>S213+#REF!</f>
        <v>#REF!</v>
      </c>
      <c r="T212" s="44" t="e">
        <f>T213+#REF!</f>
        <v>#REF!</v>
      </c>
      <c r="U212" s="44" t="e">
        <f>U213+#REF!</f>
        <v>#REF!</v>
      </c>
      <c r="V212" s="44" t="e">
        <f>V213+#REF!</f>
        <v>#REF!</v>
      </c>
      <c r="W212" s="44" t="e">
        <f>W213+#REF!</f>
        <v>#REF!</v>
      </c>
      <c r="X212" s="44" t="e">
        <f>X213+#REF!</f>
        <v>#REF!</v>
      </c>
      <c r="Y212" s="44" t="e">
        <f>Y213+#REF!</f>
        <v>#REF!</v>
      </c>
      <c r="Z212" s="44" t="e">
        <f>Z213+#REF!</f>
        <v>#REF!</v>
      </c>
      <c r="AA212" s="44" t="e">
        <f>AA213+#REF!</f>
        <v>#REF!</v>
      </c>
      <c r="AB212" s="44" t="e">
        <f>AB213+#REF!</f>
        <v>#REF!</v>
      </c>
      <c r="AC212" s="44" t="e">
        <f>AC213+#REF!</f>
        <v>#REF!</v>
      </c>
    </row>
    <row r="213" spans="1:29" x14ac:dyDescent="0.2">
      <c r="A213" s="128"/>
      <c r="B213" s="128"/>
      <c r="C213" s="128" t="s">
        <v>66</v>
      </c>
      <c r="D213" s="137" t="s">
        <v>67</v>
      </c>
      <c r="E213" s="62">
        <v>12000</v>
      </c>
      <c r="F213" s="65">
        <v>699.19</v>
      </c>
      <c r="G213" s="50">
        <f t="shared" si="77"/>
        <v>5.8265833333333336E-2</v>
      </c>
      <c r="H213" s="65">
        <v>932.25</v>
      </c>
      <c r="I213" s="65">
        <v>12000</v>
      </c>
      <c r="J213" s="129">
        <f t="shared" si="78"/>
        <v>1</v>
      </c>
      <c r="K213" s="39">
        <f t="shared" si="74"/>
        <v>12000</v>
      </c>
      <c r="L213" s="32">
        <f>SUM(M213:Q213)</f>
        <v>12000</v>
      </c>
      <c r="M213" s="32"/>
      <c r="N213" s="32"/>
      <c r="O213" s="32"/>
      <c r="P213" s="86">
        <v>12000</v>
      </c>
      <c r="Q213" s="32"/>
      <c r="R213" s="32"/>
      <c r="S213" s="32">
        <f>SUM(T213:AC213)</f>
        <v>0</v>
      </c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30" customHeight="1" x14ac:dyDescent="0.2">
      <c r="A214" s="148" t="s">
        <v>200</v>
      </c>
      <c r="B214" s="148"/>
      <c r="C214" s="148"/>
      <c r="D214" s="145" t="s">
        <v>201</v>
      </c>
      <c r="E214" s="149">
        <f>E217+E215</f>
        <v>30034.58</v>
      </c>
      <c r="F214" s="149">
        <f>F217+F215</f>
        <v>17565.259999999998</v>
      </c>
      <c r="G214" s="150">
        <f t="shared" si="77"/>
        <v>0.58483454737838847</v>
      </c>
      <c r="H214" s="149">
        <f>H217+H215</f>
        <v>23080.38</v>
      </c>
      <c r="I214" s="149">
        <f>I217+I215</f>
        <v>30000</v>
      </c>
      <c r="J214" s="151">
        <f>I214/E214</f>
        <v>0.9988486604440614</v>
      </c>
      <c r="K214" s="115" t="e">
        <f t="shared" si="74"/>
        <v>#REF!</v>
      </c>
      <c r="L214" s="48" t="e">
        <f t="shared" ref="L214:AC214" si="95">L217</f>
        <v>#REF!</v>
      </c>
      <c r="M214" s="47" t="e">
        <f t="shared" si="95"/>
        <v>#REF!</v>
      </c>
      <c r="N214" s="47" t="e">
        <f t="shared" si="95"/>
        <v>#REF!</v>
      </c>
      <c r="O214" s="47" t="e">
        <f t="shared" si="95"/>
        <v>#REF!</v>
      </c>
      <c r="P214" s="47" t="e">
        <f t="shared" si="95"/>
        <v>#REF!</v>
      </c>
      <c r="Q214" s="47" t="e">
        <f t="shared" si="95"/>
        <v>#REF!</v>
      </c>
      <c r="R214" s="47" t="e">
        <f t="shared" si="95"/>
        <v>#REF!</v>
      </c>
      <c r="S214" s="47" t="e">
        <f t="shared" si="95"/>
        <v>#REF!</v>
      </c>
      <c r="T214" s="47" t="e">
        <f t="shared" si="95"/>
        <v>#REF!</v>
      </c>
      <c r="U214" s="47" t="e">
        <f t="shared" si="95"/>
        <v>#REF!</v>
      </c>
      <c r="V214" s="47" t="e">
        <f t="shared" si="95"/>
        <v>#REF!</v>
      </c>
      <c r="W214" s="47" t="e">
        <f t="shared" si="95"/>
        <v>#REF!</v>
      </c>
      <c r="X214" s="47" t="e">
        <f t="shared" si="95"/>
        <v>#REF!</v>
      </c>
      <c r="Y214" s="47" t="e">
        <f t="shared" si="95"/>
        <v>#REF!</v>
      </c>
      <c r="Z214" s="47" t="e">
        <f t="shared" si="95"/>
        <v>#REF!</v>
      </c>
      <c r="AA214" s="47" t="e">
        <f t="shared" si="95"/>
        <v>#REF!</v>
      </c>
      <c r="AB214" s="47" t="e">
        <f t="shared" si="95"/>
        <v>#REF!</v>
      </c>
      <c r="AC214" s="49" t="e">
        <f t="shared" si="95"/>
        <v>#REF!</v>
      </c>
    </row>
    <row r="215" spans="1:29" s="74" customFormat="1" ht="18" customHeight="1" x14ac:dyDescent="0.2">
      <c r="A215" s="128"/>
      <c r="B215" s="155" t="s">
        <v>234</v>
      </c>
      <c r="C215" s="155"/>
      <c r="D215" s="157" t="s">
        <v>317</v>
      </c>
      <c r="E215" s="158">
        <f>E216</f>
        <v>34.58</v>
      </c>
      <c r="F215" s="158">
        <f>F216</f>
        <v>34.58</v>
      </c>
      <c r="G215" s="159">
        <f>F215/E215</f>
        <v>1</v>
      </c>
      <c r="H215" s="158">
        <f>H216</f>
        <v>34.58</v>
      </c>
      <c r="I215" s="158">
        <f>I216</f>
        <v>0</v>
      </c>
      <c r="J215" s="160">
        <v>0</v>
      </c>
      <c r="K215" s="125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</row>
    <row r="216" spans="1:29" s="74" customFormat="1" ht="78.75" customHeight="1" x14ac:dyDescent="0.2">
      <c r="A216" s="128"/>
      <c r="B216" s="128"/>
      <c r="C216" s="128" t="s">
        <v>158</v>
      </c>
      <c r="D216" s="137" t="s">
        <v>159</v>
      </c>
      <c r="E216" s="62">
        <v>34.58</v>
      </c>
      <c r="F216" s="62">
        <v>34.58</v>
      </c>
      <c r="G216" s="50">
        <f>F216/E216</f>
        <v>1</v>
      </c>
      <c r="H216" s="62">
        <v>34.58</v>
      </c>
      <c r="I216" s="62">
        <v>0</v>
      </c>
      <c r="J216" s="129">
        <v>0</v>
      </c>
      <c r="K216" s="125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</row>
    <row r="217" spans="1:29" ht="15" x14ac:dyDescent="0.2">
      <c r="A217" s="127"/>
      <c r="B217" s="155" t="s">
        <v>202</v>
      </c>
      <c r="C217" s="156"/>
      <c r="D217" s="157" t="s">
        <v>203</v>
      </c>
      <c r="E217" s="158">
        <f>E218+E219+E220</f>
        <v>30000</v>
      </c>
      <c r="F217" s="158">
        <f t="shared" ref="F217:I217" si="96">F218+F219+F220</f>
        <v>17530.679999999997</v>
      </c>
      <c r="G217" s="159">
        <f>F217/E217</f>
        <v>0.58435599999999988</v>
      </c>
      <c r="H217" s="158">
        <f t="shared" si="96"/>
        <v>23045.8</v>
      </c>
      <c r="I217" s="158">
        <f t="shared" si="96"/>
        <v>30000</v>
      </c>
      <c r="J217" s="159">
        <f>I217/H217</f>
        <v>1.3017556344323045</v>
      </c>
      <c r="K217" s="120" t="e">
        <f t="shared" si="74"/>
        <v>#REF!</v>
      </c>
      <c r="L217" s="59" t="e">
        <f>L218+#REF!+L219</f>
        <v>#REF!</v>
      </c>
      <c r="M217" s="59" t="e">
        <f>M218+#REF!+M219</f>
        <v>#REF!</v>
      </c>
      <c r="N217" s="59" t="e">
        <f>N218+#REF!+N219</f>
        <v>#REF!</v>
      </c>
      <c r="O217" s="59" t="e">
        <f>O218+#REF!+O219</f>
        <v>#REF!</v>
      </c>
      <c r="P217" s="59" t="e">
        <f>P218+#REF!+P219</f>
        <v>#REF!</v>
      </c>
      <c r="Q217" s="59" t="e">
        <f>Q218+#REF!+Q219</f>
        <v>#REF!</v>
      </c>
      <c r="R217" s="59" t="e">
        <f>R218+#REF!+R219</f>
        <v>#REF!</v>
      </c>
      <c r="S217" s="59" t="e">
        <f>S218+#REF!+S219</f>
        <v>#REF!</v>
      </c>
      <c r="T217" s="59" t="e">
        <f>T218+#REF!+T219</f>
        <v>#REF!</v>
      </c>
      <c r="U217" s="59" t="e">
        <f>U218+#REF!+U219</f>
        <v>#REF!</v>
      </c>
      <c r="V217" s="59" t="e">
        <f>V218+#REF!+V219</f>
        <v>#REF!</v>
      </c>
      <c r="W217" s="59" t="e">
        <f>W218+#REF!+W219</f>
        <v>#REF!</v>
      </c>
      <c r="X217" s="59" t="e">
        <f>X218+#REF!+X219</f>
        <v>#REF!</v>
      </c>
      <c r="Y217" s="59" t="e">
        <f>Y218+#REF!+Y219</f>
        <v>#REF!</v>
      </c>
      <c r="Z217" s="59" t="e">
        <f>Z218+#REF!+Z219</f>
        <v>#REF!</v>
      </c>
      <c r="AA217" s="59" t="e">
        <f>AA218+#REF!+AA219</f>
        <v>#REF!</v>
      </c>
      <c r="AB217" s="59" t="e">
        <f>AB218+#REF!+AB219</f>
        <v>#REF!</v>
      </c>
      <c r="AC217" s="59" t="e">
        <f>AC218+#REF!+AC219</f>
        <v>#REF!</v>
      </c>
    </row>
    <row r="218" spans="1:29" x14ac:dyDescent="0.2">
      <c r="A218" s="128"/>
      <c r="B218" s="128"/>
      <c r="C218" s="128" t="s">
        <v>66</v>
      </c>
      <c r="D218" s="137" t="s">
        <v>67</v>
      </c>
      <c r="E218" s="62">
        <v>30000</v>
      </c>
      <c r="F218" s="138">
        <v>16545.37</v>
      </c>
      <c r="G218" s="50">
        <f t="shared" si="77"/>
        <v>0.55151233333333327</v>
      </c>
      <c r="H218" s="65">
        <v>22060.49</v>
      </c>
      <c r="I218" s="65">
        <v>30000</v>
      </c>
      <c r="J218" s="129">
        <f t="shared" si="78"/>
        <v>1</v>
      </c>
      <c r="K218" s="106">
        <f t="shared" si="74"/>
        <v>30000</v>
      </c>
      <c r="L218" s="31">
        <f>SUM(M218:Q218)</f>
        <v>30000</v>
      </c>
      <c r="M218" s="31"/>
      <c r="N218" s="31"/>
      <c r="O218" s="31"/>
      <c r="P218" s="82">
        <v>30000</v>
      </c>
      <c r="Q218" s="31"/>
      <c r="R218" s="31"/>
      <c r="S218" s="31">
        <f>SUM(T218:AC218)</f>
        <v>0</v>
      </c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s="2" customFormat="1" x14ac:dyDescent="0.2">
      <c r="A219" s="128"/>
      <c r="B219" s="128"/>
      <c r="C219" s="154" t="s">
        <v>119</v>
      </c>
      <c r="D219" s="137" t="s">
        <v>120</v>
      </c>
      <c r="E219" s="62">
        <v>0</v>
      </c>
      <c r="F219" s="138">
        <v>124.14</v>
      </c>
      <c r="G219" s="50">
        <v>0</v>
      </c>
      <c r="H219" s="65">
        <v>124.14</v>
      </c>
      <c r="I219" s="65">
        <v>0</v>
      </c>
      <c r="J219" s="129">
        <v>0</v>
      </c>
      <c r="K219" s="106">
        <f t="shared" si="74"/>
        <v>0</v>
      </c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s="74" customFormat="1" x14ac:dyDescent="0.2">
      <c r="A220" s="128"/>
      <c r="B220" s="128"/>
      <c r="C220" s="154" t="s">
        <v>121</v>
      </c>
      <c r="D220" s="137" t="s">
        <v>122</v>
      </c>
      <c r="E220" s="62">
        <v>0</v>
      </c>
      <c r="F220" s="138">
        <v>861.17</v>
      </c>
      <c r="G220" s="50">
        <v>0</v>
      </c>
      <c r="H220" s="65">
        <v>861.17</v>
      </c>
      <c r="I220" s="65">
        <v>0</v>
      </c>
      <c r="J220" s="129">
        <v>0</v>
      </c>
      <c r="K220" s="131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</row>
    <row r="221" spans="1:29" ht="23.25" customHeight="1" x14ac:dyDescent="0.2">
      <c r="A221" s="148" t="s">
        <v>204</v>
      </c>
      <c r="B221" s="148"/>
      <c r="C221" s="148"/>
      <c r="D221" s="145" t="s">
        <v>205</v>
      </c>
      <c r="E221" s="149">
        <f>E222+E225</f>
        <v>201157.5</v>
      </c>
      <c r="F221" s="149">
        <f>F222+F225</f>
        <v>228895.17</v>
      </c>
      <c r="G221" s="150">
        <f t="shared" si="77"/>
        <v>1.1378903098318482</v>
      </c>
      <c r="H221" s="149">
        <f>H222+H225</f>
        <v>228895.17</v>
      </c>
      <c r="I221" s="149">
        <f>I222+I225</f>
        <v>0</v>
      </c>
      <c r="J221" s="151">
        <f t="shared" si="78"/>
        <v>0</v>
      </c>
      <c r="K221" s="125" t="e">
        <f t="shared" si="74"/>
        <v>#REF!</v>
      </c>
      <c r="L221" s="48" t="e">
        <f t="shared" ref="L221:AC221" si="97">L222+L225</f>
        <v>#REF!</v>
      </c>
      <c r="M221" s="48" t="e">
        <f t="shared" si="97"/>
        <v>#REF!</v>
      </c>
      <c r="N221" s="48" t="e">
        <f t="shared" si="97"/>
        <v>#REF!</v>
      </c>
      <c r="O221" s="48" t="e">
        <f t="shared" si="97"/>
        <v>#REF!</v>
      </c>
      <c r="P221" s="48" t="e">
        <f t="shared" si="97"/>
        <v>#REF!</v>
      </c>
      <c r="Q221" s="48" t="e">
        <f t="shared" si="97"/>
        <v>#REF!</v>
      </c>
      <c r="R221" s="48" t="e">
        <f t="shared" si="97"/>
        <v>#REF!</v>
      </c>
      <c r="S221" s="48" t="e">
        <f t="shared" si="97"/>
        <v>#REF!</v>
      </c>
      <c r="T221" s="48" t="e">
        <f t="shared" si="97"/>
        <v>#REF!</v>
      </c>
      <c r="U221" s="48" t="e">
        <f t="shared" si="97"/>
        <v>#REF!</v>
      </c>
      <c r="V221" s="48" t="e">
        <f t="shared" si="97"/>
        <v>#REF!</v>
      </c>
      <c r="W221" s="48" t="e">
        <f t="shared" si="97"/>
        <v>#REF!</v>
      </c>
      <c r="X221" s="48" t="e">
        <f t="shared" si="97"/>
        <v>#REF!</v>
      </c>
      <c r="Y221" s="48" t="e">
        <f t="shared" si="97"/>
        <v>#REF!</v>
      </c>
      <c r="Z221" s="48" t="e">
        <f t="shared" si="97"/>
        <v>#REF!</v>
      </c>
      <c r="AA221" s="48" t="e">
        <f t="shared" si="97"/>
        <v>#REF!</v>
      </c>
      <c r="AB221" s="48" t="e">
        <f t="shared" si="97"/>
        <v>#REF!</v>
      </c>
      <c r="AC221" s="48" t="e">
        <f t="shared" si="97"/>
        <v>#REF!</v>
      </c>
    </row>
    <row r="222" spans="1:29" ht="15" x14ac:dyDescent="0.2">
      <c r="A222" s="127"/>
      <c r="B222" s="155" t="s">
        <v>206</v>
      </c>
      <c r="C222" s="156"/>
      <c r="D222" s="157" t="s">
        <v>207</v>
      </c>
      <c r="E222" s="158">
        <f>E223+E224</f>
        <v>201157.5</v>
      </c>
      <c r="F222" s="158">
        <f t="shared" ref="F222:J222" si="98">F223+F224</f>
        <v>217081.5</v>
      </c>
      <c r="G222" s="159">
        <f>F222/E222</f>
        <v>1.0791618507885612</v>
      </c>
      <c r="H222" s="158">
        <f t="shared" si="98"/>
        <v>217081.5</v>
      </c>
      <c r="I222" s="158">
        <f t="shared" si="98"/>
        <v>0</v>
      </c>
      <c r="J222" s="159">
        <f t="shared" si="98"/>
        <v>0</v>
      </c>
      <c r="K222" s="114" t="e">
        <f t="shared" si="74"/>
        <v>#REF!</v>
      </c>
      <c r="L222" s="44" t="e">
        <f>#REF!+L223+L224+#REF!</f>
        <v>#REF!</v>
      </c>
      <c r="M222" s="44" t="e">
        <f>#REF!+M223+M224+#REF!</f>
        <v>#REF!</v>
      </c>
      <c r="N222" s="44" t="e">
        <f>#REF!+N223+N224+#REF!</f>
        <v>#REF!</v>
      </c>
      <c r="O222" s="44" t="e">
        <f>#REF!+O223+O224+#REF!</f>
        <v>#REF!</v>
      </c>
      <c r="P222" s="44" t="e">
        <f>#REF!+P223+P224+#REF!</f>
        <v>#REF!</v>
      </c>
      <c r="Q222" s="44" t="e">
        <f>#REF!+Q223+Q224+#REF!</f>
        <v>#REF!</v>
      </c>
      <c r="R222" s="44" t="e">
        <f>#REF!+R223+R224+#REF!</f>
        <v>#REF!</v>
      </c>
      <c r="S222" s="44" t="e">
        <f>#REF!+S223+S224+#REF!</f>
        <v>#REF!</v>
      </c>
      <c r="T222" s="44" t="e">
        <f>#REF!+T223+T224+#REF!</f>
        <v>#REF!</v>
      </c>
      <c r="U222" s="44" t="e">
        <f>#REF!+U223+U224+#REF!</f>
        <v>#REF!</v>
      </c>
      <c r="V222" s="44" t="e">
        <f>#REF!+V223+V224+#REF!</f>
        <v>#REF!</v>
      </c>
      <c r="W222" s="44" t="e">
        <f>#REF!+W223+W224+#REF!</f>
        <v>#REF!</v>
      </c>
      <c r="X222" s="44" t="e">
        <f>#REF!+X223+X224+#REF!</f>
        <v>#REF!</v>
      </c>
      <c r="Y222" s="44" t="e">
        <f>#REF!+Y223+Y224+#REF!</f>
        <v>#REF!</v>
      </c>
      <c r="Z222" s="44" t="e">
        <f>#REF!+Z223+Z224+#REF!</f>
        <v>#REF!</v>
      </c>
      <c r="AA222" s="44" t="e">
        <f>#REF!+AA223+AA224+#REF!</f>
        <v>#REF!</v>
      </c>
      <c r="AB222" s="44" t="e">
        <f>#REF!+AB223+AB224+#REF!</f>
        <v>#REF!</v>
      </c>
      <c r="AC222" s="44" t="e">
        <f>#REF!+AC223+AC224+#REF!</f>
        <v>#REF!</v>
      </c>
    </row>
    <row r="223" spans="1:29" ht="78.75" x14ac:dyDescent="0.2">
      <c r="A223" s="128"/>
      <c r="B223" s="128"/>
      <c r="C223" s="128" t="s">
        <v>208</v>
      </c>
      <c r="D223" s="137" t="s">
        <v>209</v>
      </c>
      <c r="E223" s="62">
        <v>201157.5</v>
      </c>
      <c r="F223" s="65">
        <v>201157.5</v>
      </c>
      <c r="G223" s="50">
        <f t="shared" si="77"/>
        <v>1</v>
      </c>
      <c r="H223" s="65">
        <v>201157.5</v>
      </c>
      <c r="I223" s="65">
        <v>0</v>
      </c>
      <c r="J223" s="129">
        <f t="shared" si="78"/>
        <v>0</v>
      </c>
      <c r="K223" s="106">
        <f t="shared" si="74"/>
        <v>0</v>
      </c>
      <c r="L223" s="31">
        <f>SUM(M223:Q223)</f>
        <v>0</v>
      </c>
      <c r="M223" s="31">
        <v>0</v>
      </c>
      <c r="N223" s="31"/>
      <c r="O223" s="31"/>
      <c r="P223" s="31"/>
      <c r="Q223" s="31"/>
      <c r="R223" s="31"/>
      <c r="S223" s="31">
        <f>SUM(T223:AC223)</f>
        <v>0</v>
      </c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56.25" x14ac:dyDescent="0.2">
      <c r="A224" s="128"/>
      <c r="B224" s="128"/>
      <c r="C224" s="128" t="s">
        <v>210</v>
      </c>
      <c r="D224" s="137" t="s">
        <v>211</v>
      </c>
      <c r="E224" s="62">
        <v>0</v>
      </c>
      <c r="F224" s="65">
        <v>15924</v>
      </c>
      <c r="G224" s="50">
        <v>0</v>
      </c>
      <c r="H224" s="65">
        <v>15924</v>
      </c>
      <c r="I224" s="65">
        <v>0</v>
      </c>
      <c r="J224" s="129">
        <v>0</v>
      </c>
      <c r="K224" s="39">
        <f t="shared" si="74"/>
        <v>0</v>
      </c>
      <c r="L224" s="32">
        <f>SUM(M224:Q224)</f>
        <v>0</v>
      </c>
      <c r="M224" s="32">
        <v>0</v>
      </c>
      <c r="N224" s="32"/>
      <c r="O224" s="32"/>
      <c r="P224" s="32"/>
      <c r="Q224" s="32"/>
      <c r="R224" s="32"/>
      <c r="S224" s="32">
        <f>SUM(T224:AC224)</f>
        <v>0</v>
      </c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s="2" customFormat="1" x14ac:dyDescent="0.2">
      <c r="A225" s="128"/>
      <c r="B225" s="155" t="s">
        <v>235</v>
      </c>
      <c r="C225" s="155"/>
      <c r="D225" s="157" t="s">
        <v>13</v>
      </c>
      <c r="E225" s="158">
        <f>E226+E227</f>
        <v>0</v>
      </c>
      <c r="F225" s="158">
        <f>F226+F227</f>
        <v>11813.67</v>
      </c>
      <c r="G225" s="159">
        <v>0</v>
      </c>
      <c r="H225" s="162">
        <f>H226+H227</f>
        <v>11813.67</v>
      </c>
      <c r="I225" s="162">
        <f>I226+I227</f>
        <v>0</v>
      </c>
      <c r="J225" s="160">
        <v>0</v>
      </c>
      <c r="K225" s="124">
        <f>K226+K227</f>
        <v>0</v>
      </c>
      <c r="L225" s="45">
        <f t="shared" ref="L225:AC225" si="99">L226+L227</f>
        <v>0</v>
      </c>
      <c r="M225" s="45">
        <f t="shared" si="99"/>
        <v>0</v>
      </c>
      <c r="N225" s="45">
        <f t="shared" si="99"/>
        <v>0</v>
      </c>
      <c r="O225" s="45">
        <f t="shared" si="99"/>
        <v>0</v>
      </c>
      <c r="P225" s="45">
        <f t="shared" si="99"/>
        <v>0</v>
      </c>
      <c r="Q225" s="45">
        <f t="shared" si="99"/>
        <v>0</v>
      </c>
      <c r="R225" s="45">
        <f t="shared" si="99"/>
        <v>0</v>
      </c>
      <c r="S225" s="45">
        <f t="shared" si="99"/>
        <v>0</v>
      </c>
      <c r="T225" s="45">
        <f t="shared" si="99"/>
        <v>0</v>
      </c>
      <c r="U225" s="45">
        <f t="shared" si="99"/>
        <v>0</v>
      </c>
      <c r="V225" s="45">
        <f t="shared" si="99"/>
        <v>0</v>
      </c>
      <c r="W225" s="45">
        <f t="shared" si="99"/>
        <v>0</v>
      </c>
      <c r="X225" s="45">
        <f t="shared" si="99"/>
        <v>0</v>
      </c>
      <c r="Y225" s="45">
        <f t="shared" si="99"/>
        <v>0</v>
      </c>
      <c r="Z225" s="45">
        <f t="shared" si="99"/>
        <v>0</v>
      </c>
      <c r="AA225" s="45">
        <f t="shared" si="99"/>
        <v>0</v>
      </c>
      <c r="AB225" s="45">
        <f t="shared" si="99"/>
        <v>0</v>
      </c>
      <c r="AC225" s="45">
        <f t="shared" si="99"/>
        <v>0</v>
      </c>
    </row>
    <row r="226" spans="1:29" s="2" customFormat="1" x14ac:dyDescent="0.2">
      <c r="A226" s="128"/>
      <c r="B226" s="128"/>
      <c r="C226" s="154" t="s">
        <v>56</v>
      </c>
      <c r="D226" s="137" t="s">
        <v>57</v>
      </c>
      <c r="E226" s="62">
        <v>0</v>
      </c>
      <c r="F226" s="65">
        <v>11666.66</v>
      </c>
      <c r="G226" s="50">
        <v>0</v>
      </c>
      <c r="H226" s="65">
        <v>11666.66</v>
      </c>
      <c r="I226" s="65">
        <v>0</v>
      </c>
      <c r="J226" s="129">
        <v>0</v>
      </c>
      <c r="K226" s="119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s="2" customFormat="1" ht="67.5" x14ac:dyDescent="0.2">
      <c r="A227" s="128"/>
      <c r="B227" s="128"/>
      <c r="C227" s="128" t="s">
        <v>158</v>
      </c>
      <c r="D227" s="137" t="s">
        <v>159</v>
      </c>
      <c r="E227" s="62">
        <v>0</v>
      </c>
      <c r="F227" s="65">
        <v>147.01</v>
      </c>
      <c r="G227" s="50">
        <v>0</v>
      </c>
      <c r="H227" s="65">
        <v>147.01</v>
      </c>
      <c r="I227" s="65">
        <v>0</v>
      </c>
      <c r="J227" s="129">
        <v>0</v>
      </c>
      <c r="K227" s="106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21" customHeight="1" x14ac:dyDescent="0.2">
      <c r="A228" s="168" t="s">
        <v>212</v>
      </c>
      <c r="B228" s="168"/>
      <c r="C228" s="168"/>
      <c r="D228" s="168"/>
      <c r="E228" s="165">
        <f>E221+E214+E195+E175+E171+E168+E139+E115+E99+E69+E65+E60+E47+E31+E18+E15+E4+E12+E136+E44+E27</f>
        <v>91438760.590000004</v>
      </c>
      <c r="F228" s="165">
        <f>F221+F214+F195+F175+F171+F168+F139+F115+F99+F69+F65+F60+F47+F31+F18+F15+F4+F12+F136+F44+F27</f>
        <v>70901032.780000001</v>
      </c>
      <c r="G228" s="166">
        <f>F228/E228</f>
        <v>0.77539363309954945</v>
      </c>
      <c r="H228" s="165">
        <f>H221+H214+H195+H175+H171+H168+H139+H115+H99+H69+H65+H60+H47+H31+H18+H15+H4+H12+H136</f>
        <v>86088841.710000008</v>
      </c>
      <c r="I228" s="165">
        <f>I221+I214+I195+I175+I171+I168+I139+I115+I99+I69+I65+I60+I47+I31+I18+I15+I4+I12+I136</f>
        <v>87902070.420000002</v>
      </c>
      <c r="J228" s="166">
        <f>I228/E228</f>
        <v>0.96132176172139872</v>
      </c>
      <c r="K228" s="126" t="e">
        <f t="shared" ref="K228:AC228" si="100">K221+K214+K195+K175+K171+K168+K139+K115+K99+K69+K65+K60+K47+K31+K18+K15+K4+K12+K136</f>
        <v>#REF!</v>
      </c>
      <c r="L228" s="33" t="e">
        <f t="shared" si="100"/>
        <v>#REF!</v>
      </c>
      <c r="M228" s="33" t="e">
        <f t="shared" si="100"/>
        <v>#REF!</v>
      </c>
      <c r="N228" s="33" t="e">
        <f t="shared" si="100"/>
        <v>#REF!</v>
      </c>
      <c r="O228" s="33" t="e">
        <f t="shared" si="100"/>
        <v>#REF!</v>
      </c>
      <c r="P228" s="33" t="e">
        <f t="shared" si="100"/>
        <v>#REF!</v>
      </c>
      <c r="Q228" s="33" t="e">
        <f t="shared" si="100"/>
        <v>#REF!</v>
      </c>
      <c r="R228" s="33" t="e">
        <f t="shared" si="100"/>
        <v>#REF!</v>
      </c>
      <c r="S228" s="33" t="e">
        <f t="shared" si="100"/>
        <v>#REF!</v>
      </c>
      <c r="T228" s="33" t="e">
        <f t="shared" si="100"/>
        <v>#REF!</v>
      </c>
      <c r="U228" s="33" t="e">
        <f t="shared" si="100"/>
        <v>#REF!</v>
      </c>
      <c r="V228" s="33" t="e">
        <f t="shared" si="100"/>
        <v>#REF!</v>
      </c>
      <c r="W228" s="33" t="e">
        <f t="shared" si="100"/>
        <v>#REF!</v>
      </c>
      <c r="X228" s="33" t="e">
        <f t="shared" si="100"/>
        <v>#REF!</v>
      </c>
      <c r="Y228" s="33" t="e">
        <f t="shared" si="100"/>
        <v>#REF!</v>
      </c>
      <c r="Z228" s="33" t="e">
        <f t="shared" si="100"/>
        <v>#REF!</v>
      </c>
      <c r="AA228" s="33" t="e">
        <f t="shared" si="100"/>
        <v>#REF!</v>
      </c>
      <c r="AB228" s="33" t="e">
        <f t="shared" si="100"/>
        <v>#REF!</v>
      </c>
      <c r="AC228" s="33" t="e">
        <f t="shared" si="100"/>
        <v>#REF!</v>
      </c>
    </row>
    <row r="229" spans="1:29" ht="24" customHeight="1" x14ac:dyDescent="0.2">
      <c r="B229" s="72"/>
      <c r="D229" s="10"/>
      <c r="E229" s="93"/>
      <c r="F229" s="92"/>
      <c r="G229" s="69"/>
      <c r="H229" s="92"/>
      <c r="I229" s="92"/>
      <c r="J229" s="70"/>
      <c r="K229" s="92" t="e">
        <f>K230+K240</f>
        <v>#REF!</v>
      </c>
      <c r="L229" s="70"/>
      <c r="M229" s="70"/>
      <c r="N229" s="92" t="e">
        <f>N228+P228</f>
        <v>#REF!</v>
      </c>
      <c r="O229" s="70"/>
      <c r="P229" s="70"/>
      <c r="Q229" s="70"/>
      <c r="R229" s="70"/>
      <c r="S229" s="70"/>
      <c r="T229" s="71"/>
      <c r="AB229" s="75" t="e">
        <f>AC229-K229</f>
        <v>#REF!</v>
      </c>
      <c r="AC229" s="75" t="e">
        <f>AB228+AA228+Z228+Y228+X228+W228+V228+U228+T228+R228+Q228+P228+O228+N228+M228</f>
        <v>#REF!</v>
      </c>
    </row>
    <row r="230" spans="1:29" ht="25.5" hidden="1" customHeight="1" x14ac:dyDescent="0.2">
      <c r="B230" s="72"/>
      <c r="C230" s="24"/>
      <c r="D230" s="25" t="s">
        <v>255</v>
      </c>
      <c r="E230" s="30" t="e">
        <f>E232+E233+E234+E237+E238+E239</f>
        <v>#REF!</v>
      </c>
      <c r="F230" s="30" t="e">
        <f t="shared" ref="F230:AC230" si="101">F232+F233+F234+F237+F238+F239</f>
        <v>#REF!</v>
      </c>
      <c r="G230" s="78" t="e">
        <f>F230/E230</f>
        <v>#REF!</v>
      </c>
      <c r="H230" s="30" t="e">
        <f t="shared" si="101"/>
        <v>#REF!</v>
      </c>
      <c r="I230" s="30" t="e">
        <f t="shared" si="101"/>
        <v>#REF!</v>
      </c>
      <c r="J230" s="78" t="e">
        <f>I230/E230</f>
        <v>#REF!</v>
      </c>
      <c r="K230" s="42" t="e">
        <f t="shared" si="101"/>
        <v>#REF!</v>
      </c>
      <c r="L230" s="42" t="e">
        <f t="shared" si="101"/>
        <v>#REF!</v>
      </c>
      <c r="M230" s="36" t="e">
        <f t="shared" si="101"/>
        <v>#REF!</v>
      </c>
      <c r="N230" s="36" t="e">
        <f t="shared" si="101"/>
        <v>#REF!</v>
      </c>
      <c r="O230" s="30" t="e">
        <f t="shared" si="101"/>
        <v>#REF!</v>
      </c>
      <c r="P230" s="36" t="e">
        <f t="shared" si="101"/>
        <v>#REF!</v>
      </c>
      <c r="Q230" s="30" t="e">
        <f t="shared" si="101"/>
        <v>#REF!</v>
      </c>
      <c r="R230" s="36" t="e">
        <f t="shared" si="101"/>
        <v>#REF!</v>
      </c>
      <c r="S230" s="36" t="e">
        <f t="shared" si="101"/>
        <v>#REF!</v>
      </c>
      <c r="T230" s="36" t="e">
        <f t="shared" si="101"/>
        <v>#REF!</v>
      </c>
      <c r="U230" s="36" t="e">
        <f t="shared" si="101"/>
        <v>#REF!</v>
      </c>
      <c r="V230" s="36" t="e">
        <f t="shared" si="101"/>
        <v>#REF!</v>
      </c>
      <c r="W230" s="36" t="e">
        <f t="shared" si="101"/>
        <v>#REF!</v>
      </c>
      <c r="X230" s="36" t="e">
        <f t="shared" si="101"/>
        <v>#REF!</v>
      </c>
      <c r="Y230" s="36" t="e">
        <f t="shared" si="101"/>
        <v>#REF!</v>
      </c>
      <c r="Z230" s="36" t="e">
        <f t="shared" si="101"/>
        <v>#REF!</v>
      </c>
      <c r="AA230" s="36" t="e">
        <f t="shared" si="101"/>
        <v>#REF!</v>
      </c>
      <c r="AB230" s="36" t="e">
        <f t="shared" si="101"/>
        <v>#REF!</v>
      </c>
      <c r="AC230" s="36" t="e">
        <f t="shared" si="101"/>
        <v>#REF!</v>
      </c>
    </row>
    <row r="231" spans="1:29" hidden="1" x14ac:dyDescent="0.2">
      <c r="C231" s="13"/>
      <c r="D231" s="14" t="s">
        <v>256</v>
      </c>
      <c r="E231" s="27"/>
      <c r="F231" s="13"/>
      <c r="G231" s="13"/>
      <c r="H231" s="13"/>
      <c r="I231" s="13"/>
      <c r="J231" s="78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ht="14.25" hidden="1" customHeight="1" x14ac:dyDescent="0.2">
      <c r="C232" s="15" t="s">
        <v>257</v>
      </c>
      <c r="D232" s="14" t="s">
        <v>258</v>
      </c>
      <c r="E232" s="28">
        <f>E97</f>
        <v>14157320</v>
      </c>
      <c r="F232" s="28">
        <f>F97</f>
        <v>9618314</v>
      </c>
      <c r="G232" s="79">
        <f>F232/E232</f>
        <v>0.67938804802038799</v>
      </c>
      <c r="H232" s="28">
        <f>H97</f>
        <v>12824418.67</v>
      </c>
      <c r="I232" s="28">
        <f>I97</f>
        <v>14243442</v>
      </c>
      <c r="J232" s="80">
        <f>I232/E232</f>
        <v>1.0060832134895588</v>
      </c>
      <c r="K232" s="28">
        <f t="shared" ref="K232:AC232" si="102">K97</f>
        <v>14157320</v>
      </c>
      <c r="L232" s="28">
        <f t="shared" si="102"/>
        <v>14157320</v>
      </c>
      <c r="M232" s="28">
        <f t="shared" si="102"/>
        <v>14157320</v>
      </c>
      <c r="N232" s="28">
        <f t="shared" si="102"/>
        <v>0</v>
      </c>
      <c r="O232" s="28">
        <f t="shared" si="102"/>
        <v>0</v>
      </c>
      <c r="P232" s="28">
        <f t="shared" si="102"/>
        <v>0</v>
      </c>
      <c r="Q232" s="28">
        <f t="shared" si="102"/>
        <v>0</v>
      </c>
      <c r="R232" s="28">
        <f t="shared" si="102"/>
        <v>0</v>
      </c>
      <c r="S232" s="28">
        <f t="shared" si="102"/>
        <v>0</v>
      </c>
      <c r="T232" s="28">
        <f t="shared" si="102"/>
        <v>0</v>
      </c>
      <c r="U232" s="28">
        <f t="shared" si="102"/>
        <v>0</v>
      </c>
      <c r="V232" s="28">
        <f t="shared" si="102"/>
        <v>0</v>
      </c>
      <c r="W232" s="28">
        <f t="shared" si="102"/>
        <v>0</v>
      </c>
      <c r="X232" s="28">
        <f t="shared" si="102"/>
        <v>0</v>
      </c>
      <c r="Y232" s="28">
        <f t="shared" si="102"/>
        <v>0</v>
      </c>
      <c r="Z232" s="28">
        <f t="shared" si="102"/>
        <v>0</v>
      </c>
      <c r="AA232" s="28">
        <f t="shared" si="102"/>
        <v>0</v>
      </c>
      <c r="AB232" s="28">
        <f t="shared" si="102"/>
        <v>0</v>
      </c>
      <c r="AC232" s="28">
        <f t="shared" si="102"/>
        <v>0</v>
      </c>
    </row>
    <row r="233" spans="1:29" hidden="1" x14ac:dyDescent="0.2">
      <c r="C233" s="15" t="s">
        <v>259</v>
      </c>
      <c r="D233" s="14" t="s">
        <v>260</v>
      </c>
      <c r="E233" s="28">
        <f>E98</f>
        <v>1200000</v>
      </c>
      <c r="F233" s="28">
        <f>F98</f>
        <v>772709.96</v>
      </c>
      <c r="G233" s="79">
        <f t="shared" ref="G233:G245" si="103">F233/E233</f>
        <v>0.64392496666666665</v>
      </c>
      <c r="H233" s="28">
        <f>H98</f>
        <v>1030279.95</v>
      </c>
      <c r="I233" s="28">
        <f>I98</f>
        <v>1100000</v>
      </c>
      <c r="J233" s="80">
        <f>I233/E233</f>
        <v>0.91666666666666663</v>
      </c>
      <c r="K233" s="28">
        <f t="shared" ref="K233:AC233" si="104">K98</f>
        <v>1200000</v>
      </c>
      <c r="L233" s="28">
        <f t="shared" si="104"/>
        <v>1200000</v>
      </c>
      <c r="M233" s="28">
        <f t="shared" si="104"/>
        <v>1200000</v>
      </c>
      <c r="N233" s="28">
        <f t="shared" si="104"/>
        <v>0</v>
      </c>
      <c r="O233" s="28">
        <f t="shared" si="104"/>
        <v>0</v>
      </c>
      <c r="P233" s="28">
        <f t="shared" si="104"/>
        <v>0</v>
      </c>
      <c r="Q233" s="28">
        <f t="shared" si="104"/>
        <v>0</v>
      </c>
      <c r="R233" s="28">
        <f t="shared" si="104"/>
        <v>0</v>
      </c>
      <c r="S233" s="28">
        <f t="shared" si="104"/>
        <v>0</v>
      </c>
      <c r="T233" s="28">
        <f t="shared" si="104"/>
        <v>0</v>
      </c>
      <c r="U233" s="28">
        <f t="shared" si="104"/>
        <v>0</v>
      </c>
      <c r="V233" s="28">
        <f t="shared" si="104"/>
        <v>0</v>
      </c>
      <c r="W233" s="28">
        <f t="shared" si="104"/>
        <v>0</v>
      </c>
      <c r="X233" s="28">
        <f t="shared" si="104"/>
        <v>0</v>
      </c>
      <c r="Y233" s="28">
        <f t="shared" si="104"/>
        <v>0</v>
      </c>
      <c r="Z233" s="28">
        <f t="shared" si="104"/>
        <v>0</v>
      </c>
      <c r="AA233" s="28">
        <f t="shared" si="104"/>
        <v>0</v>
      </c>
      <c r="AB233" s="28">
        <f t="shared" si="104"/>
        <v>0</v>
      </c>
      <c r="AC233" s="28">
        <f t="shared" si="104"/>
        <v>0</v>
      </c>
    </row>
    <row r="234" spans="1:29" hidden="1" x14ac:dyDescent="0.2">
      <c r="C234" s="15" t="s">
        <v>261</v>
      </c>
      <c r="D234" s="14" t="s">
        <v>262</v>
      </c>
      <c r="E234" s="28" t="e">
        <f>E211+E200+E199+E127+E126+E95+E94+E90+E89+E88+E87+E86+E85+E84+E83+E78+E77+E76+E75+E74+E71+E34+E33+E22+E17+E23+#REF!+E53+E79+#REF!+#REF!+#REF!</f>
        <v>#REF!</v>
      </c>
      <c r="F234" s="28" t="e">
        <f>F211+F200+F199+F127+F126+F95+F94+F90+F89+F88+F87+F86+F85+F84+F83+F78+F77+F76+F75+F74+F71+F34+F33+F22+F17+F23+#REF!+F53+F79+#REF!+#REF!+#REF!</f>
        <v>#REF!</v>
      </c>
      <c r="G234" s="79" t="e">
        <f t="shared" si="103"/>
        <v>#REF!</v>
      </c>
      <c r="H234" s="28" t="e">
        <f>H211+H200+H199+H127+H126+H95+H94+H90+H89+H88+H87+H86+H85+H84+H83+H78+H77+H76+H75+H74+H71+H34+H33+H22+H17+H23+#REF!+H53+H79+#REF!+#REF!+#REF!</f>
        <v>#REF!</v>
      </c>
      <c r="I234" s="28" t="e">
        <f>I211+I200+I199+I127+I126+I95+I94+I90+I89+I88+I87+I86+I85+I84+I83+I78+I77+I76+I75+I74+I71+I34+I33+I22+I17+I23+#REF!+I53+I79+#REF!+#REF!+#REF!</f>
        <v>#REF!</v>
      </c>
      <c r="J234" s="80" t="e">
        <f>I234/E234</f>
        <v>#REF!</v>
      </c>
      <c r="K234" s="28" t="e">
        <f>K211+K200+K199+K127+K126+K95+K94+K90+K89+K88+K87+K86+K85+K84+K83+K78+K77+K76+K75+K74+K71+K34+K33+K22+K17+K23+#REF!+K53+K79+#REF!+#REF!+#REF!</f>
        <v>#REF!</v>
      </c>
      <c r="L234" s="28" t="e">
        <f>L211+L200+L199+L127+L126+L95+L94+L90+L89+L88+L87+L86+L85+L84+L83+L78+L77+L76+L75+L74+L71+L34+L33+L22+L17+L23+#REF!+L53+L79+#REF!+#REF!+#REF!</f>
        <v>#REF!</v>
      </c>
      <c r="M234" s="28" t="e">
        <f>M211+M200+M199+M127+M126+M95+M94+M90+M89+M88+M87+M86+M85+M84+M83+M78+M77+M76+M75+M74+M71+M34+M33+M22+M17+M23+#REF!+M53+M79+#REF!+#REF!+#REF!</f>
        <v>#REF!</v>
      </c>
      <c r="N234" s="28" t="e">
        <f>N211+N200+N199+N127+N126+N95+N94+N90+N89+N88+N87+N86+N85+N84+N83+N78+N77+N76+N75+N74+N71+N34+N33+N22+N17+N23+#REF!+N53+N79+#REF!+#REF!+#REF!</f>
        <v>#REF!</v>
      </c>
      <c r="O234" s="28" t="e">
        <f>O211+O200+O199+O127+O126+O95+O94+O90+O89+O88+O87+O86+O85+O84+O83+O78+O77+O76+O75+O74+O71+O34+O33+O22+O17+O23+#REF!+O53+O79+#REF!+#REF!+#REF!</f>
        <v>#REF!</v>
      </c>
      <c r="P234" s="28" t="e">
        <f>P211+P200+P199+P127+P126+P95+P94+P90+P89+P88+P87+P86+P85+P84+P83+P78+P77+P76+P75+P74+P71+P34+P33+P22+P17+P23+#REF!+P53+P79+#REF!+#REF!+#REF!</f>
        <v>#REF!</v>
      </c>
      <c r="Q234" s="28" t="e">
        <f>Q211+Q200+Q199+Q127+Q126+Q95+Q94+Q90+Q89+Q88+Q87+Q86+Q85+Q84+Q83+Q78+Q77+Q76+Q75+Q74+Q71+Q34+Q33+Q22+Q17+Q23+#REF!+Q53+Q79+#REF!+#REF!+#REF!</f>
        <v>#REF!</v>
      </c>
      <c r="R234" s="28" t="e">
        <f>R211+R200+R199+R127+R126+R95+R94+R90+R89+R88+R87+R86+R85+R84+R83+R78+R77+R76+R75+R74+R71+R34+R33+R22+R17+R23+#REF!+R53+R79+#REF!+#REF!+#REF!</f>
        <v>#REF!</v>
      </c>
      <c r="S234" s="28" t="e">
        <f>S211+S200+S199+S127+S126+S95+S94+S90+S89+S88+S87+S86+S85+S84+S83+S78+S77+S76+S75+S74+S71+S34+S33+S22+S17+S23+#REF!+S53+S79+#REF!+#REF!+#REF!</f>
        <v>#REF!</v>
      </c>
      <c r="T234" s="28" t="e">
        <f>T211+T200+T199+T127+T126+T95+T94+T90+T89+T88+T87+T86+T85+T84+T83+T78+T77+T76+T75+T74+T71+T34+T33+T22+T17+T23+#REF!+T53+T79+#REF!+#REF!+#REF!</f>
        <v>#REF!</v>
      </c>
      <c r="U234" s="28" t="e">
        <f>U211+U200+U199+U127+U126+U95+U94+U90+U89+U88+U87+U86+U85+U84+U83+U78+U77+U76+U75+U74+U71+U34+U33+U22+U17+U23+#REF!+U53+U79+#REF!+#REF!+#REF!</f>
        <v>#REF!</v>
      </c>
      <c r="V234" s="28" t="e">
        <f>V211+V200+V199+V127+V126+V95+V94+V90+V89+V88+V87+V86+V85+V84+V83+V78+V77+V76+V75+V74+V71+V34+V33+V22+V17+V23+#REF!+V53+V79+#REF!+#REF!+#REF!</f>
        <v>#REF!</v>
      </c>
      <c r="W234" s="28" t="e">
        <f>W211+W200+W199+W127+W126+W95+W94+W90+W89+W88+W87+W86+W85+W84+W83+W78+W77+W76+W75+W74+W71+W34+W33+W22+W17+W23+#REF!+W53+W79+#REF!+#REF!+#REF!</f>
        <v>#REF!</v>
      </c>
      <c r="X234" s="28" t="e">
        <f>X211+X200+X199+X127+X126+X95+X94+X90+X89+X88+X87+X86+X85+X84+X83+X78+X77+X76+X75+X74+X71+X34+X33+X22+X17+X23+#REF!+X53+X79+#REF!+#REF!+#REF!</f>
        <v>#REF!</v>
      </c>
      <c r="Y234" s="28" t="e">
        <f>Y211+Y200+Y199+Y127+Y126+Y95+Y94+Y90+Y89+Y88+Y87+Y86+Y85+Y84+Y83+Y78+Y77+Y76+Y75+Y74+Y71+Y34+Y33+Y22+Y17+Y23+#REF!+Y53+Y79+#REF!+#REF!+#REF!</f>
        <v>#REF!</v>
      </c>
      <c r="Z234" s="28" t="e">
        <f>Z211+Z200+Z199+Z127+Z126+Z95+Z94+Z90+Z89+Z88+Z87+Z86+Z85+Z84+Z83+Z78+Z77+Z76+Z75+Z74+Z71+Z34+Z33+Z22+Z17+Z23+#REF!+Z53+Z79+#REF!+#REF!+#REF!</f>
        <v>#REF!</v>
      </c>
      <c r="AA234" s="28" t="e">
        <f>AA211+AA200+AA199+AA127+AA126+AA95+AA94+AA90+AA89+AA88+AA87+AA86+AA85+AA84+AA83+AA78+AA77+AA76+AA75+AA74+AA71+AA34+AA33+AA22+AA17+AA23+#REF!+AA53+AA79+#REF!+#REF!+#REF!</f>
        <v>#REF!</v>
      </c>
      <c r="AB234" s="28" t="e">
        <f>AB211+AB200+AB199+AB127+AB126+AB95+AB94+AB90+AB89+AB88+AB87+AB86+AB85+AB84+AB83+AB78+AB77+AB76+AB75+AB74+AB71+AB34+AB33+AB22+AB17+AB23+#REF!+AB53+AB79+#REF!+#REF!+#REF!</f>
        <v>#REF!</v>
      </c>
      <c r="AC234" s="28" t="e">
        <f>AC211+AC200+AC199+AC127+AC126+AC95+AC94+AC90+AC89+AC88+AC87+AC86+AC85+AC84+AC83+AC78+AC77+AC76+AC75+AC74+AC71+AC34+AC33+AC22+AC17+AC23+#REF!+AC53+AC79+#REF!+#REF!+#REF!</f>
        <v>#REF!</v>
      </c>
    </row>
    <row r="235" spans="1:29" hidden="1" x14ac:dyDescent="0.2">
      <c r="C235" s="21"/>
      <c r="D235" s="23" t="s">
        <v>256</v>
      </c>
      <c r="E235" s="20"/>
      <c r="F235" s="20"/>
      <c r="G235" s="79"/>
      <c r="H235" s="20"/>
      <c r="I235" s="20"/>
      <c r="J235" s="8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36" spans="1:29" hidden="1" x14ac:dyDescent="0.2">
      <c r="C236" s="22"/>
      <c r="D236" s="14" t="s">
        <v>263</v>
      </c>
      <c r="E236" s="28">
        <f>E83+E74</f>
        <v>10032890</v>
      </c>
      <c r="F236" s="28">
        <f>F83+F74</f>
        <v>7138486.3399999999</v>
      </c>
      <c r="G236" s="79">
        <f t="shared" si="103"/>
        <v>0.71150848260072619</v>
      </c>
      <c r="H236" s="28">
        <f>H83+H74</f>
        <v>9517981.7899999991</v>
      </c>
      <c r="I236" s="28">
        <f>I83+I74</f>
        <v>10148900</v>
      </c>
      <c r="J236" s="80">
        <f>I236/E236</f>
        <v>1.0115629693936643</v>
      </c>
      <c r="K236" s="28">
        <f t="shared" ref="K236:AC236" si="105">K83+K74</f>
        <v>10032890</v>
      </c>
      <c r="L236" s="28">
        <f t="shared" si="105"/>
        <v>10032890</v>
      </c>
      <c r="M236" s="28">
        <f t="shared" si="105"/>
        <v>0</v>
      </c>
      <c r="N236" s="28">
        <f t="shared" si="105"/>
        <v>0</v>
      </c>
      <c r="O236" s="28">
        <f t="shared" si="105"/>
        <v>0</v>
      </c>
      <c r="P236" s="28">
        <f t="shared" si="105"/>
        <v>10032890</v>
      </c>
      <c r="Q236" s="28">
        <f t="shared" si="105"/>
        <v>0</v>
      </c>
      <c r="R236" s="28">
        <f t="shared" si="105"/>
        <v>0</v>
      </c>
      <c r="S236" s="28">
        <f t="shared" si="105"/>
        <v>0</v>
      </c>
      <c r="T236" s="28">
        <f t="shared" si="105"/>
        <v>0</v>
      </c>
      <c r="U236" s="28">
        <f t="shared" si="105"/>
        <v>0</v>
      </c>
      <c r="V236" s="28">
        <f t="shared" si="105"/>
        <v>0</v>
      </c>
      <c r="W236" s="28">
        <f t="shared" si="105"/>
        <v>0</v>
      </c>
      <c r="X236" s="28">
        <f t="shared" si="105"/>
        <v>0</v>
      </c>
      <c r="Y236" s="28">
        <f t="shared" si="105"/>
        <v>0</v>
      </c>
      <c r="Z236" s="28">
        <f t="shared" si="105"/>
        <v>0</v>
      </c>
      <c r="AA236" s="28">
        <f t="shared" si="105"/>
        <v>0</v>
      </c>
      <c r="AB236" s="28">
        <f t="shared" si="105"/>
        <v>0</v>
      </c>
      <c r="AC236" s="28">
        <f t="shared" si="105"/>
        <v>0</v>
      </c>
    </row>
    <row r="237" spans="1:29" hidden="1" x14ac:dyDescent="0.2">
      <c r="C237" s="15" t="s">
        <v>264</v>
      </c>
      <c r="D237" s="14" t="s">
        <v>265</v>
      </c>
      <c r="E237" s="28">
        <f>E114+E103+E101</f>
        <v>20253933</v>
      </c>
      <c r="F237" s="28">
        <f>F114+F103+F101</f>
        <v>16620229</v>
      </c>
      <c r="G237" s="79">
        <f t="shared" si="103"/>
        <v>0.8205926720504112</v>
      </c>
      <c r="H237" s="28">
        <f>H114+H103+H101</f>
        <v>20253933</v>
      </c>
      <c r="I237" s="28">
        <f>I114+I103+I101</f>
        <v>22079095</v>
      </c>
      <c r="J237" s="80">
        <f>I237/E237</f>
        <v>1.0901139546575966</v>
      </c>
      <c r="K237" s="28">
        <f t="shared" ref="K237:AC237" si="106">K114+K103+K101</f>
        <v>20182383</v>
      </c>
      <c r="L237" s="28">
        <f t="shared" si="106"/>
        <v>20182383</v>
      </c>
      <c r="M237" s="28">
        <f t="shared" si="106"/>
        <v>20182383</v>
      </c>
      <c r="N237" s="28">
        <f t="shared" si="106"/>
        <v>0</v>
      </c>
      <c r="O237" s="28">
        <f t="shared" si="106"/>
        <v>0</v>
      </c>
      <c r="P237" s="28">
        <f t="shared" si="106"/>
        <v>0</v>
      </c>
      <c r="Q237" s="28">
        <f t="shared" si="106"/>
        <v>0</v>
      </c>
      <c r="R237" s="28">
        <f t="shared" si="106"/>
        <v>0</v>
      </c>
      <c r="S237" s="28">
        <f t="shared" si="106"/>
        <v>0</v>
      </c>
      <c r="T237" s="28">
        <f t="shared" si="106"/>
        <v>0</v>
      </c>
      <c r="U237" s="28">
        <f t="shared" si="106"/>
        <v>0</v>
      </c>
      <c r="V237" s="28">
        <f t="shared" si="106"/>
        <v>0</v>
      </c>
      <c r="W237" s="28">
        <f t="shared" si="106"/>
        <v>0</v>
      </c>
      <c r="X237" s="28">
        <f t="shared" si="106"/>
        <v>0</v>
      </c>
      <c r="Y237" s="28">
        <f t="shared" si="106"/>
        <v>0</v>
      </c>
      <c r="Z237" s="28">
        <f t="shared" si="106"/>
        <v>0</v>
      </c>
      <c r="AA237" s="28">
        <f t="shared" si="106"/>
        <v>0</v>
      </c>
      <c r="AB237" s="28">
        <f t="shared" si="106"/>
        <v>0</v>
      </c>
      <c r="AC237" s="28">
        <f t="shared" si="106"/>
        <v>0</v>
      </c>
    </row>
    <row r="238" spans="1:29" hidden="1" x14ac:dyDescent="0.2">
      <c r="C238" s="15" t="s">
        <v>267</v>
      </c>
      <c r="D238" s="14" t="s">
        <v>266</v>
      </c>
      <c r="E238" s="28">
        <v>0</v>
      </c>
      <c r="F238" s="28" t="e">
        <f>#REF!+F190+F187+F184+F180+F173+#REF!+F170+F165+#REF!+F162+F159+F155+F152+F150+F147+#REF!+F143+#REF!+#REF!++#REF!+#REF!+F135+F133+F129+F124+F120+#REF!+F68+F64+F62+F49+F20+F10+#REF!+F108+F194</f>
        <v>#REF!</v>
      </c>
      <c r="G238" s="79" t="e">
        <f t="shared" si="103"/>
        <v>#REF!</v>
      </c>
      <c r="H238" s="28" t="e">
        <f>#REF!+H190+H187+H184+H180+H173+#REF!+H170+H165+#REF!+H162+H159+H155+H152+H150+H147+#REF!+H143+#REF!+#REF!++#REF!+#REF!+H135+H133+H129+H124+H120+#REF!+H68+H64+H62+H49+H20+H10+#REF!+H108+H194</f>
        <v>#REF!</v>
      </c>
      <c r="I238" s="28" t="e">
        <f>#REF!+I190+I187+I184+I180+I173+#REF!+I170+I165+#REF!+I162+I159+I155+I152+I150+I147+#REF!+I143+#REF!+#REF!++#REF!+#REF!+I135+I133+I129+I124+I120+#REF!+I68+I64+I62+I49+I20+I10+#REF!+I108+I194</f>
        <v>#REF!</v>
      </c>
      <c r="J238" s="80" t="e">
        <f>I238/E238</f>
        <v>#REF!</v>
      </c>
      <c r="K238" s="28" t="e">
        <f>#REF!+K190+K187+K184+K180+K173+#REF!+K170+K165+#REF!+K162+K159+K155+K152+K150+K147+#REF!+K143+#REF!+#REF!++#REF!+#REF!+K135+K133+#REF!+K129+K124+K120+#REF!+K68+K64+K62+K49+K20+K10+#REF!+K108+K194</f>
        <v>#REF!</v>
      </c>
      <c r="L238" s="28" t="e">
        <f>#REF!+L190+L187+L184+L180+L173+#REF!+L170+L165+#REF!+L162+L159+L155+L152+L150+L147+#REF!+L143+#REF!+#REF!++#REF!+#REF!+L135+L133+#REF!+L129+L124+L120+#REF!+L68+L64+L62+L49+L20+L10+#REF!+L108+L194</f>
        <v>#REF!</v>
      </c>
      <c r="M238" s="28" t="e">
        <f>#REF!+M190+M187+M184+M180+M173+#REF!+M170+M165+#REF!+M162+M159+M155+M152+M150+M147+#REF!+M143+#REF!+#REF!++#REF!+#REF!+M135+M133+#REF!+M129+M124+M120+#REF!+M68+M64+M62+M49+M20+M10+#REF!+M108+M194</f>
        <v>#REF!</v>
      </c>
      <c r="N238" s="28" t="e">
        <f>#REF!+N190+N187+N184+N180+N173+#REF!+N170+N165+#REF!+N162+N159+N155+N152+N150+N147+#REF!+N143+#REF!+#REF!++#REF!+#REF!+N135+N133+#REF!+N129+N124+N120+#REF!+N68+N64+N62+N49+N20+N10+#REF!+N108+N194</f>
        <v>#REF!</v>
      </c>
      <c r="O238" s="28" t="e">
        <f>#REF!+O190+O187+O184+O180+O173+#REF!+O170+O165+#REF!+O162+O159+O155+O152+O150+O147+#REF!+O143+#REF!+#REF!++#REF!+#REF!+O135+O133+#REF!+O129+O124+O120+#REF!+O68+O64+O62+O49+O20+O10+#REF!+O108+O194</f>
        <v>#REF!</v>
      </c>
      <c r="P238" s="28" t="e">
        <f>#REF!+P190+P187+P184+P180+P173+#REF!+P170+P165+#REF!+P162+P159+P155+P152+P150+P147+#REF!+P143+#REF!+#REF!++#REF!+#REF!+P135+P133+#REF!+P129+P124+P120+#REF!+P68+P64+P62+P49+P20+P10+#REF!+P108+P194</f>
        <v>#REF!</v>
      </c>
      <c r="Q238" s="28" t="e">
        <f>#REF!+Q190+Q187+Q184+Q180+Q173+#REF!+Q170+Q165+#REF!+Q162+Q159+Q155+Q152+Q150+Q147+#REF!+Q143+#REF!+#REF!++#REF!+#REF!+Q135+Q133+#REF!+Q129+Q124+Q120+#REF!+Q68+Q64+Q62+Q49+Q20+Q10+#REF!+Q108+Q194</f>
        <v>#REF!</v>
      </c>
      <c r="R238" s="28" t="e">
        <f>#REF!+R190+R187+R184+R180+R173+#REF!+R170+R165+#REF!+R162+R159+R155+R152+R150+R147+#REF!+R143+#REF!+#REF!++#REF!+#REF!+R135+R133+#REF!+R129+R124+R120+#REF!+R68+R64+R62+R49+R20+R10+#REF!+R108+R194</f>
        <v>#REF!</v>
      </c>
      <c r="S238" s="28" t="e">
        <f>#REF!+S190+S187+S184+S180+S173+#REF!+S170+S165+#REF!+S162+S159+S155+S152+S150+S147+#REF!+S143+#REF!+#REF!++#REF!+#REF!+S135+S133+#REF!+S129+S124+S120+#REF!+S68+S64+S62+S49+S20+S10+#REF!+S108+S194</f>
        <v>#REF!</v>
      </c>
      <c r="T238" s="28" t="e">
        <f>#REF!+T190+T187+T184+T180+T173+#REF!+T170+T165+#REF!+T162+T159+T155+T152+T150+T147+#REF!+T143+#REF!+#REF!++#REF!+#REF!+T135+T133+#REF!+T129+T124+T120+#REF!+T68+T64+T62+T49+T20+T10+#REF!+T108+T194</f>
        <v>#REF!</v>
      </c>
      <c r="U238" s="28" t="e">
        <f>#REF!+U190+U187+U184+U180+U173+#REF!+U170+U165+#REF!+U162+U159+U155+U152+U150+U147+#REF!+U143+#REF!+#REF!++#REF!+#REF!+U135+U133+#REF!+U129+U124+U120+#REF!+U68+U64+U62+U49+U20+U10+#REF!+U108+U194</f>
        <v>#REF!</v>
      </c>
      <c r="V238" s="28" t="e">
        <f>#REF!+V190+V187+V184+V180+V173+#REF!+V170+V165+#REF!+V162+V159+V155+V152+V150+V147+#REF!+V143+#REF!+#REF!++#REF!+#REF!+V135+V133+#REF!+V129+V124+V120+#REF!+V68+V64+V62+V49+V20+V10+#REF!+V108+V194</f>
        <v>#REF!</v>
      </c>
      <c r="W238" s="28" t="e">
        <f>#REF!+W190+W187+W184+W180+W173+#REF!+W170+W165+#REF!+W162+W159+W155+W152+W150+W147+#REF!+W143+#REF!+#REF!++#REF!+#REF!+W135+W133+#REF!+W129+W124+W120+#REF!+W68+W64+W62+W49+W20+W10+#REF!+W108+W194</f>
        <v>#REF!</v>
      </c>
      <c r="X238" s="28" t="e">
        <f>#REF!+X190+X187+X184+X180+X173+#REF!+X170+X165+#REF!+X162+X159+X155+X152+X150+X147+#REF!+X143+#REF!+#REF!++#REF!+#REF!+X135+X133+#REF!+X129+X124+X120+#REF!+X68+X64+X62+X49+X20+X10+#REF!+X108+X194</f>
        <v>#REF!</v>
      </c>
      <c r="Y238" s="28" t="e">
        <f>#REF!+Y190+Y187+Y184+Y180+Y173+#REF!+Y170+Y165+#REF!+Y162+Y159+Y155+Y152+Y150+Y147+#REF!+Y143+#REF!+#REF!++#REF!+#REF!+Y135+Y133+#REF!+Y129+Y124+Y120+#REF!+Y68+Y64+Y62+Y49+Y20+Y10+#REF!+Y108+Y194</f>
        <v>#REF!</v>
      </c>
      <c r="Z238" s="28" t="e">
        <f>#REF!+Z190+Z187+Z184+Z180+Z173+#REF!+Z170+Z165+#REF!+Z162+Z159+Z155+Z152+Z150+Z147+#REF!+Z143+#REF!+#REF!++#REF!+#REF!+Z135+Z133+#REF!+Z129+Z124+Z120+#REF!+Z68+Z64+Z62+Z49+Z20+Z10+#REF!+Z108+Z194</f>
        <v>#REF!</v>
      </c>
      <c r="AA238" s="28" t="e">
        <f>#REF!+AA190+AA187+AA184+AA180+AA173+#REF!+AA170+AA165+#REF!+AA162+AA159+AA155+AA152+AA150+AA147+#REF!+AA143+#REF!+#REF!++#REF!+#REF!+AA135+AA133+#REF!+AA129+AA124+AA120+#REF!+AA68+AA64+AA62+AA49+AA20+AA10+#REF!+AA108+AA194</f>
        <v>#REF!</v>
      </c>
      <c r="AB238" s="28" t="e">
        <f>#REF!+AB190+AB187+AB184+AB180+AB173+#REF!+AB170+AB165+#REF!+AB162+AB159+AB155+AB152+AB150+AB147+#REF!+AB143+#REF!+#REF!++#REF!+#REF!+AB135+AB133+#REF!+AB129+AB124+AB120+#REF!+AB68+AB64+AB62+AB49+AB20+AB10+#REF!+AB108+AB194</f>
        <v>#REF!</v>
      </c>
      <c r="AC238" s="28" t="e">
        <f>#REF!+AC190+AC187+AC184+AC180+AC173+#REF!+AC170+AC165+#REF!+AC162+AC159+AC155+AC152+AC150+AC147+#REF!+AC143+#REF!+#REF!++#REF!+#REF!+AC135+AC133+#REF!+AC129+AC124+AC120+#REF!+AC68+AC64+AC62+AC49+AC20+AC10+#REF!+AC108+AC194</f>
        <v>#REF!</v>
      </c>
    </row>
    <row r="239" spans="1:29" hidden="1" x14ac:dyDescent="0.2">
      <c r="C239" s="15" t="s">
        <v>268</v>
      </c>
      <c r="D239" s="14" t="s">
        <v>269</v>
      </c>
      <c r="E239" s="28" t="e">
        <f>E218+E213+#REF!+E185+#REF!+#REF!+E177+E163+E161+#REF!+#REF!+E132+E128+#REF!+#REF!+#REF!+E118+#REF!+E106+E105+E91+E81+E80+E67+E55+E52+E36+E35+E8+E92+E9+#REF!+E24+E39+E40+E41+E50+E59+E72+#REF!+#REF!+#REF!+E107+E117+#REF!+#REF!+E201+E202+#REF!+E226+E227+E219+E154+E146+E178+E179+E182+E183+#REF!</f>
        <v>#REF!</v>
      </c>
      <c r="F239" s="28" t="e">
        <f>F218+F213+#REF!+F185+#REF!+#REF!+F177+F163+F161+#REF!+#REF!+F132+F128+#REF!+#REF!+#REF!+F118+#REF!+F106+F105+F91+F81+F80+F67+F55+F52+F36+F35+F8+F92+F9+#REF!+F24+F39+F40+F41+F50+F59+F72+#REF!+#REF!+#REF!+F107+F117+#REF!+#REF!+F201+F202+#REF!+F226+F227+F219+F154+F146+F178+F179+F182+F183+#REF!</f>
        <v>#REF!</v>
      </c>
      <c r="G239" s="79" t="e">
        <f t="shared" si="103"/>
        <v>#REF!</v>
      </c>
      <c r="H239" s="28" t="e">
        <f>H218+H213+#REF!+H185+#REF!+#REF!+H177+H163+H161+#REF!+#REF!+H132+H128+#REF!+#REF!+#REF!+H118+#REF!+H106+H105+H91+H81+H80+H67+H55+H52+H36+H35+H8+H92+H9+#REF!+H24+H39+H40+H41+H50+H59+H72+#REF!+#REF!+#REF!+H107+H117+#REF!+#REF!+H201+H202+#REF!+H226+H227+H219+H154+H146+H178+H179+H182+H183+#REF!</f>
        <v>#REF!</v>
      </c>
      <c r="I239" s="28" t="e">
        <f>I218+I213+#REF!+I185+#REF!+#REF!+I177+I163+I161+#REF!+#REF!+I132+I128+#REF!+#REF!+#REF!+I118+#REF!+I106+I105+I91+I81+I80+I67+I55+I52+I36+I35+I8+I92+I9+#REF!+I24+I39+I40+I41+I50+I59+I72+#REF!+#REF!+#REF!+I107+I117+#REF!+#REF!+I201+I202+#REF!+I226+I227+I219+I154+I146+I178+I179+I182+I183+#REF!+I212</f>
        <v>#REF!</v>
      </c>
      <c r="J239" s="80" t="e">
        <f>I239/E239</f>
        <v>#REF!</v>
      </c>
      <c r="K239" s="28" t="e">
        <f>K218+K213+#REF!+K185+#REF!+#REF!+K177+K163+K161+#REF!+#REF!+K132+K128+#REF!+#REF!+#REF!+K118+#REF!+K106+K105+K91+K81+K80+K67+K55+K52+K36+K35+K8+K92+K9+#REF!+K24+K39+K40+K41+K50+K59+K72+#REF!+#REF!+#REF!+K107+K117+#REF!+#REF!+K201+K202+#REF!+K226+K227+K219+K154+K146+K178+K179+K182+K183+#REF!+K212</f>
        <v>#REF!</v>
      </c>
      <c r="L239" s="28" t="e">
        <f>L218+L213+#REF!+L185+#REF!+#REF!+L177+L163+L161+#REF!+#REF!+L132+L128+#REF!+#REF!+#REF!+L118+#REF!+L106+L105+L91+L81+L80+L67+L55+L52+L36+L35+L8+L92+L9+#REF!+L24+L39+L40+L41+L50+L59+L72+#REF!+#REF!+#REF!+L107+L117+#REF!+#REF!+L201+L202+#REF!+L226+L227+L219+L154+L146+L178+L179+L182+L183+#REF!</f>
        <v>#REF!</v>
      </c>
      <c r="M239" s="28" t="e">
        <f>M218+M213+#REF!+M185+#REF!+#REF!+M177+M163+M161+#REF!+#REF!+M132+M128+#REF!+#REF!+#REF!+M118+#REF!+M106+M105+M91+M81+M80+M67+M55+M52+M36+M35+M8+M92+M9+#REF!+M24+M39+M40+M41+M50+M59+M72+#REF!+#REF!+#REF!+M107+M117+#REF!+#REF!+M201+M202+#REF!+M226+M227+M219+M154+M146+M178+M179+M182+M183+#REF!</f>
        <v>#REF!</v>
      </c>
      <c r="N239" s="28" t="e">
        <f>N218+N213+#REF!+N185+#REF!+#REF!+N177+N163+N161+#REF!+#REF!+N132+N128+#REF!+#REF!+#REF!+N118+#REF!+N106+N105+N91+N81+N80+N67+N55+N52+N36+N35+N8+N92+N9+#REF!+N24+N39+N40+N41+N50+N59+N72+#REF!+#REF!+#REF!+N107+N117+#REF!+#REF!+N201+N202+#REF!+N226+N227+N219+N154+N146+N178+N179+N182+N183+#REF!</f>
        <v>#REF!</v>
      </c>
      <c r="O239" s="28" t="e">
        <f>O218+O213+#REF!+O185+#REF!+#REF!+O177+O163+O161+#REF!+#REF!+O132+O128+#REF!+#REF!+#REF!+O118+#REF!+O106+O105+O91+O81+O80+O67+O55+O52+O36+O35+O8+O92+O9+#REF!+O24+O39+O40+O41+O50+O59+O72+#REF!+#REF!+#REF!+O107+O117+#REF!+#REF!+O201+O202+#REF!+O226+O227+O219+O154+O146+O178+O179+O182+O183+#REF!</f>
        <v>#REF!</v>
      </c>
      <c r="P239" s="28" t="e">
        <f>P218+P213+#REF!+P185+#REF!+#REF!+P177+P163+P161+#REF!+#REF!+P132+P128+#REF!+#REF!+#REF!+P118+#REF!+P106+P105+P91+P81+P80+P67+P55+P52+P36+P35+P8+P92+P9+#REF!+P24+P39+P40+P41+P50+P59+P72+#REF!+#REF!+#REF!+P107+P117+#REF!+#REF!+P201+P202+#REF!+P226+P227+P219+P154+P146+P178+P179+P182+P183+#REF!</f>
        <v>#REF!</v>
      </c>
      <c r="Q239" s="28" t="e">
        <f>Q218+Q213+#REF!+Q185+#REF!+#REF!+Q177+Q163+Q161+#REF!+#REF!+Q132+Q128+#REF!+#REF!+#REF!+Q118+#REF!+Q106+Q105+Q91+Q81+Q80+Q67+Q55+Q52+Q36+Q35+Q8+Q92+Q9+#REF!+Q24+Q39+Q40+Q41+Q50+Q59+Q72+#REF!+#REF!+#REF!+Q107+Q117+#REF!+#REF!+Q201+Q202+#REF!+Q226+Q227+Q219+Q154+Q146+Q178+Q179+Q182+Q183+#REF!</f>
        <v>#REF!</v>
      </c>
      <c r="R239" s="28" t="e">
        <f>R218+R213+#REF!+R185+#REF!+#REF!+R177+R163+R161+#REF!+#REF!+R132+R128+#REF!+#REF!+#REF!+R118+#REF!+R106+R105+R91+R81+R80+R67+R55+R52+R36+R35+R8+R92+R9+#REF!+R24+R39+R40+R41+R50+R59+R72+#REF!+#REF!+#REF!+R107+R117+#REF!+#REF!+R201+R202+#REF!+R226+R227+R219+R154+R146+R178+R179+R182+R183+#REF!</f>
        <v>#REF!</v>
      </c>
      <c r="S239" s="28" t="e">
        <f>S218+S213+#REF!+S185+#REF!+#REF!+S177+S163+S161+#REF!+#REF!+S132+S128+#REF!+#REF!+#REF!+S118+#REF!+S106+S105+S91+S81+S80+S67+S55+S52+S36+S35+S8+S92+S9+#REF!+S24+S39+S40+S41+S50+S59+S72+#REF!+#REF!+#REF!+S107+S117+#REF!+#REF!+S201+S202+#REF!+S226+S227+S219+S154+S146+S178+S179+S182+S183+#REF!</f>
        <v>#REF!</v>
      </c>
      <c r="T239" s="28" t="e">
        <f>T218+T213+#REF!+T185+#REF!+#REF!+T177+T163+T161+#REF!+#REF!+T132+T128+#REF!+#REF!+#REF!+T118+#REF!+T106+T105+T91+T81+T80+T67+T55+T52+T36+T35+T8+T92+T9+#REF!+T24+T39+T40+T41+T50+T59+T72+#REF!+#REF!+#REF!+T107+T117+#REF!+#REF!+T201+T202+#REF!+T226+T227+T219+T154+T146+T178+T179+T182+T183+#REF!</f>
        <v>#REF!</v>
      </c>
      <c r="U239" s="28" t="e">
        <f>U218+U213+#REF!+U185+#REF!+#REF!+U177+U163+U161+#REF!+#REF!+U132+U128+#REF!+#REF!+#REF!+U118+#REF!+U106+U105+U91+U81+U80+U67+U55+U52+U36+U35+U8+U92+U9+#REF!+U24+U39+U40+U41+U50+U59+U72+#REF!+#REF!+#REF!+U107+U117+#REF!+#REF!+U201+U202+#REF!+U226+U227+U219+U154+U146+U178+U179+U182+U183+#REF!</f>
        <v>#REF!</v>
      </c>
      <c r="V239" s="28" t="e">
        <f>V218+V213+#REF!+V185+#REF!+#REF!+V177+V163+V161+#REF!+#REF!+V132+V128+#REF!+#REF!+#REF!+V118+#REF!+V106+V105+V91+V81+V80+V67+V55+V52+V36+V35+V8+V92+V9+#REF!+V24+V39+V40+V41+V50+V59+V72+#REF!+#REF!+#REF!+V107+V117+#REF!+#REF!+V201+V202+#REF!+V226+V227+V219+V154+V146+V178+V179+V182+V183+#REF!</f>
        <v>#REF!</v>
      </c>
      <c r="W239" s="28" t="e">
        <f>W218+W213+#REF!+W185+#REF!+#REF!+W177+W163+W161+#REF!+#REF!+W132+W128+#REF!+#REF!+#REF!+W118+#REF!+W106+W105+W91+W81+W80+W67+W55+W52+W36+W35+W8+W92+W9+#REF!+W24+W39+W40+W41+W50+W59+W72+#REF!+#REF!+#REF!+W107+W117+#REF!+#REF!+W201+W202+#REF!+W226+W227+W219+W154+W146+W178+W179+W182+W183+#REF!</f>
        <v>#REF!</v>
      </c>
      <c r="X239" s="28" t="e">
        <f>X218+X213+#REF!+X185+#REF!+#REF!+X177+X163+X161+#REF!+#REF!+X132+X128+#REF!+#REF!+#REF!+X118+#REF!+X106+X105+X91+X81+X80+X67+X55+X52+X36+X35+X8+X92+X9+#REF!+X24+X39+X40+X41+X50+X59+X72+#REF!+#REF!+#REF!+X107+X117+#REF!+#REF!+X201+X202+#REF!+X226+X227+X219+X154+X146+X178+X179+X182+X183+#REF!</f>
        <v>#REF!</v>
      </c>
      <c r="Y239" s="28" t="e">
        <f>Y218+Y213+#REF!+Y185+#REF!+#REF!+Y177+Y163+Y161+#REF!+#REF!+Y132+Y128+#REF!+#REF!+#REF!+Y118+#REF!+Y106+Y105+Y91+Y81+Y80+Y67+Y55+Y52+Y36+Y35+Y8+Y92+Y9+#REF!+Y24+Y39+Y40+Y41+Y50+Y59+Y72+#REF!+#REF!+#REF!+Y107+Y117+#REF!+#REF!+Y201+Y202+#REF!+Y226+Y227+Y219+Y154+Y146+Y178+Y179+Y182+Y183+#REF!</f>
        <v>#REF!</v>
      </c>
      <c r="Z239" s="28" t="e">
        <f>Z218+Z213+#REF!+Z185+#REF!+#REF!+Z177+Z163+Z161+#REF!+#REF!+Z132+Z128+#REF!+#REF!+#REF!+Z118+#REF!+Z106+Z105+Z91+Z81+Z80+Z67+Z55+Z52+Z36+Z35+Z8+Z92+Z9+#REF!+Z24+Z39+Z40+Z41+Z50+Z59+Z72+#REF!+#REF!+#REF!+Z107+Z117+#REF!+#REF!+Z201+Z202+#REF!+Z226+Z227+Z219+Z154+Z146+Z178+Z179+Z182+Z183+#REF!</f>
        <v>#REF!</v>
      </c>
      <c r="AA239" s="28" t="e">
        <f>AA218+AA213+#REF!+AA185+#REF!+#REF!+AA177+AA163+AA161+#REF!+#REF!+AA132+AA128+#REF!+#REF!+#REF!+AA118+#REF!+AA106+AA105+AA91+AA81+AA80+AA67+AA55+AA52+AA36+AA35+AA8+AA92+AA9+#REF!+AA24+AA39+AA40+AA41+AA50+AA59+AA72+#REF!+#REF!+#REF!+AA107+AA117+#REF!+#REF!+AA201+AA202+#REF!+AA226+AA227+AA219+AA154+AA146+AA178+AA179+AA182+AA183+#REF!</f>
        <v>#REF!</v>
      </c>
      <c r="AB239" s="28" t="e">
        <f>AB218+AB213+#REF!+AB185+#REF!+#REF!+AB177+AB163+AB161+#REF!+#REF!+AB132+AB128+#REF!+#REF!+#REF!+AB118+#REF!+AB106+AB105+AB91+AB81+AB80+AB67+AB55+AB52+AB36+AB35+AB8+AB92+AB9+#REF!+AB24+AB39+AB40+AB41+AB50+AB59+AB72+#REF!+#REF!+#REF!+AB107+AB117+#REF!+#REF!+AB201+AB202+#REF!+AB226+AB227+AB219+AB154+AB146+AB178+AB179+AB182+AB183+#REF!</f>
        <v>#REF!</v>
      </c>
      <c r="AC239" s="28" t="e">
        <f>AC218+AC213+#REF!+AC185+#REF!+#REF!+AC177+AC163+AC161+#REF!+#REF!+AC132+AC128+#REF!+#REF!+#REF!+AC118+#REF!+AC106+AC105+AC91+AC81+AC80+AC67+AC55+AC52+AC36+AC35+AC8+AC92+AC9+#REF!+AC24+AC39+AC40+AC41+AC50+AC59+AC72+#REF!+#REF!+#REF!+AC107+AC117+#REF!+#REF!+AC201+AC202+#REF!+AC226+AC227+AC219+AC154+AC146+AC178+AC179+AC182+AC183+#REF!</f>
        <v>#REF!</v>
      </c>
    </row>
    <row r="240" spans="1:29" ht="25.5" hidden="1" customHeight="1" x14ac:dyDescent="0.2">
      <c r="C240" s="26"/>
      <c r="D240" s="25" t="s">
        <v>270</v>
      </c>
      <c r="E240" s="30" t="e">
        <f>E242+E243+E244+E245</f>
        <v>#REF!</v>
      </c>
      <c r="F240" s="30" t="e">
        <f t="shared" ref="F240:AC240" si="107">F242+F243+F244+F245</f>
        <v>#REF!</v>
      </c>
      <c r="G240" s="81" t="e">
        <f t="shared" si="103"/>
        <v>#REF!</v>
      </c>
      <c r="H240" s="30" t="e">
        <f t="shared" si="107"/>
        <v>#REF!</v>
      </c>
      <c r="I240" s="30" t="e">
        <f t="shared" si="107"/>
        <v>#REF!</v>
      </c>
      <c r="J240" s="81" t="e">
        <f>I240/E240</f>
        <v>#REF!</v>
      </c>
      <c r="K240" s="30" t="e">
        <f t="shared" si="107"/>
        <v>#REF!</v>
      </c>
      <c r="L240" s="30" t="e">
        <f t="shared" si="107"/>
        <v>#REF!</v>
      </c>
      <c r="M240" s="30" t="e">
        <f t="shared" si="107"/>
        <v>#REF!</v>
      </c>
      <c r="N240" s="36" t="e">
        <f t="shared" si="107"/>
        <v>#REF!</v>
      </c>
      <c r="O240" s="30" t="e">
        <f t="shared" si="107"/>
        <v>#REF!</v>
      </c>
      <c r="P240" s="30" t="e">
        <f t="shared" si="107"/>
        <v>#REF!</v>
      </c>
      <c r="Q240" s="30" t="e">
        <f t="shared" si="107"/>
        <v>#REF!</v>
      </c>
      <c r="R240" s="30" t="e">
        <f t="shared" si="107"/>
        <v>#REF!</v>
      </c>
      <c r="S240" s="30" t="e">
        <f t="shared" si="107"/>
        <v>#REF!</v>
      </c>
      <c r="T240" s="30" t="e">
        <f t="shared" si="107"/>
        <v>#REF!</v>
      </c>
      <c r="U240" s="30" t="e">
        <f t="shared" si="107"/>
        <v>#REF!</v>
      </c>
      <c r="V240" s="30" t="e">
        <f t="shared" si="107"/>
        <v>#REF!</v>
      </c>
      <c r="W240" s="30" t="e">
        <f t="shared" si="107"/>
        <v>#REF!</v>
      </c>
      <c r="X240" s="30" t="e">
        <f t="shared" si="107"/>
        <v>#REF!</v>
      </c>
      <c r="Y240" s="30" t="e">
        <f t="shared" si="107"/>
        <v>#REF!</v>
      </c>
      <c r="Z240" s="30" t="e">
        <f t="shared" si="107"/>
        <v>#REF!</v>
      </c>
      <c r="AA240" s="30" t="e">
        <f t="shared" si="107"/>
        <v>#REF!</v>
      </c>
      <c r="AB240" s="30" t="e">
        <f t="shared" si="107"/>
        <v>#REF!</v>
      </c>
      <c r="AC240" s="30" t="e">
        <f t="shared" si="107"/>
        <v>#REF!</v>
      </c>
    </row>
    <row r="241" spans="2:29" hidden="1" x14ac:dyDescent="0.2">
      <c r="C241" s="18"/>
      <c r="D241" s="19" t="s">
        <v>256</v>
      </c>
      <c r="E241" s="20"/>
      <c r="F241" s="20"/>
      <c r="G241" s="79"/>
      <c r="H241" s="20"/>
      <c r="I241" s="20"/>
      <c r="J241" s="78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2:29" hidden="1" x14ac:dyDescent="0.2">
      <c r="C242" s="15" t="s">
        <v>257</v>
      </c>
      <c r="D242" s="14" t="s">
        <v>271</v>
      </c>
      <c r="E242" s="28" t="e">
        <f>E38+E14+#REF!</f>
        <v>#REF!</v>
      </c>
      <c r="F242" s="28" t="e">
        <f>F38+F14+#REF!</f>
        <v>#REF!</v>
      </c>
      <c r="G242" s="79" t="e">
        <f t="shared" si="103"/>
        <v>#REF!</v>
      </c>
      <c r="H242" s="28" t="e">
        <f>H38+H14+#REF!</f>
        <v>#REF!</v>
      </c>
      <c r="I242" s="28" t="e">
        <f>I38+I14+#REF!</f>
        <v>#REF!</v>
      </c>
      <c r="J242" s="79" t="e">
        <f t="shared" ref="J242:J245" si="108">I242/E242</f>
        <v>#REF!</v>
      </c>
      <c r="K242" s="28" t="e">
        <f>K38+K14+#REF!</f>
        <v>#REF!</v>
      </c>
      <c r="L242" s="28" t="e">
        <f>L38+L14+#REF!</f>
        <v>#REF!</v>
      </c>
      <c r="M242" s="28" t="e">
        <f>M38+M14+#REF!</f>
        <v>#REF!</v>
      </c>
      <c r="N242" s="28" t="e">
        <f>N38+N14+#REF!</f>
        <v>#REF!</v>
      </c>
      <c r="O242" s="28" t="e">
        <f>O38+O14+#REF!</f>
        <v>#REF!</v>
      </c>
      <c r="P242" s="28" t="e">
        <f>P38+P14+#REF!</f>
        <v>#REF!</v>
      </c>
      <c r="Q242" s="28" t="e">
        <f>Q38+Q14+#REF!</f>
        <v>#REF!</v>
      </c>
      <c r="R242" s="28" t="e">
        <f>R38+R14+#REF!</f>
        <v>#REF!</v>
      </c>
      <c r="S242" s="28" t="e">
        <f>S38+S14+#REF!</f>
        <v>#REF!</v>
      </c>
      <c r="T242" s="28" t="e">
        <f>T38+T14+#REF!</f>
        <v>#REF!</v>
      </c>
      <c r="U242" s="28" t="e">
        <f>U38+U14+#REF!</f>
        <v>#REF!</v>
      </c>
      <c r="V242" s="28" t="e">
        <f>V38+V14+#REF!</f>
        <v>#REF!</v>
      </c>
      <c r="W242" s="28" t="e">
        <f>W38+W14+#REF!</f>
        <v>#REF!</v>
      </c>
      <c r="X242" s="28" t="e">
        <f>X38+X14+#REF!</f>
        <v>#REF!</v>
      </c>
      <c r="Y242" s="28" t="e">
        <f>Y38+Y14+#REF!</f>
        <v>#REF!</v>
      </c>
      <c r="Z242" s="28" t="e">
        <f>Z38+Z14+#REF!</f>
        <v>#REF!</v>
      </c>
      <c r="AA242" s="28" t="e">
        <f>AA38+AA14+#REF!</f>
        <v>#REF!</v>
      </c>
      <c r="AB242" s="28" t="e">
        <f>AB38+AB14+#REF!</f>
        <v>#REF!</v>
      </c>
      <c r="AC242" s="28" t="e">
        <f>AC38+AC14+#REF!</f>
        <v>#REF!</v>
      </c>
    </row>
    <row r="243" spans="2:29" ht="51" hidden="1" x14ac:dyDescent="0.2">
      <c r="C243" s="16" t="s">
        <v>259</v>
      </c>
      <c r="D243" s="17" t="s">
        <v>272</v>
      </c>
      <c r="E243" s="29">
        <f>E37</f>
        <v>50000</v>
      </c>
      <c r="F243" s="29">
        <f>F37</f>
        <v>41310.07</v>
      </c>
      <c r="G243" s="79">
        <f t="shared" si="103"/>
        <v>0.82620139999999997</v>
      </c>
      <c r="H243" s="29">
        <f>H37</f>
        <v>50000</v>
      </c>
      <c r="I243" s="29">
        <f>I37</f>
        <v>42000</v>
      </c>
      <c r="J243" s="79">
        <f t="shared" si="108"/>
        <v>0.84</v>
      </c>
      <c r="K243" s="29">
        <f t="shared" ref="K243:AC243" si="109">K37</f>
        <v>50000</v>
      </c>
      <c r="L243" s="29">
        <f t="shared" si="109"/>
        <v>50000</v>
      </c>
      <c r="M243" s="29">
        <f t="shared" si="109"/>
        <v>0</v>
      </c>
      <c r="N243" s="29">
        <f t="shared" si="109"/>
        <v>50000</v>
      </c>
      <c r="O243" s="29">
        <f t="shared" si="109"/>
        <v>0</v>
      </c>
      <c r="P243" s="29">
        <f t="shared" si="109"/>
        <v>0</v>
      </c>
      <c r="Q243" s="29">
        <f t="shared" si="109"/>
        <v>0</v>
      </c>
      <c r="R243" s="29">
        <f t="shared" si="109"/>
        <v>0</v>
      </c>
      <c r="S243" s="29">
        <f t="shared" si="109"/>
        <v>0</v>
      </c>
      <c r="T243" s="29">
        <f t="shared" si="109"/>
        <v>0</v>
      </c>
      <c r="U243" s="29">
        <f t="shared" si="109"/>
        <v>0</v>
      </c>
      <c r="V243" s="29">
        <f t="shared" si="109"/>
        <v>0</v>
      </c>
      <c r="W243" s="29">
        <f t="shared" si="109"/>
        <v>0</v>
      </c>
      <c r="X243" s="29">
        <f t="shared" si="109"/>
        <v>0</v>
      </c>
      <c r="Y243" s="29">
        <f t="shared" si="109"/>
        <v>0</v>
      </c>
      <c r="Z243" s="29">
        <f t="shared" si="109"/>
        <v>0</v>
      </c>
      <c r="AA243" s="29">
        <f t="shared" si="109"/>
        <v>0</v>
      </c>
      <c r="AB243" s="29">
        <f t="shared" si="109"/>
        <v>0</v>
      </c>
      <c r="AC243" s="29">
        <f t="shared" si="109"/>
        <v>0</v>
      </c>
    </row>
    <row r="244" spans="2:29" hidden="1" x14ac:dyDescent="0.2">
      <c r="C244" s="15" t="s">
        <v>261</v>
      </c>
      <c r="D244" s="14" t="s">
        <v>273</v>
      </c>
      <c r="E244" s="28">
        <v>0</v>
      </c>
      <c r="F244" s="28" t="e">
        <f>F224+F223+#REF!+F109+#REF!+F6+#REF!+#REF!+#REF!</f>
        <v>#REF!</v>
      </c>
      <c r="G244" s="79" t="e">
        <f t="shared" si="103"/>
        <v>#REF!</v>
      </c>
      <c r="H244" s="28" t="e">
        <f>H224+H223+#REF!+H109+#REF!+H6+#REF!+#REF!+#REF!</f>
        <v>#REF!</v>
      </c>
      <c r="I244" s="28" t="e">
        <f>I224+I223+#REF!+I109+#REF!+I6+#REF!+#REF!+#REF!</f>
        <v>#REF!</v>
      </c>
      <c r="J244" s="79" t="e">
        <f t="shared" si="108"/>
        <v>#REF!</v>
      </c>
      <c r="K244" s="28" t="e">
        <f>K224+K223+#REF!+K109+#REF!+K6+#REF!+#REF!+#REF!</f>
        <v>#REF!</v>
      </c>
      <c r="L244" s="28" t="e">
        <f>L224+L223+#REF!+L109+#REF!+L6+#REF!+#REF!+#REF!</f>
        <v>#REF!</v>
      </c>
      <c r="M244" s="28" t="e">
        <f>M224+M223+#REF!+M109+#REF!+M6+#REF!+#REF!+#REF!</f>
        <v>#REF!</v>
      </c>
      <c r="N244" s="28" t="e">
        <f>N224+N223+#REF!+N109+#REF!+N6+#REF!+#REF!+#REF!</f>
        <v>#REF!</v>
      </c>
      <c r="O244" s="28" t="e">
        <f>O224+O223+#REF!+O109+#REF!+O6+#REF!+#REF!+#REF!</f>
        <v>#REF!</v>
      </c>
      <c r="P244" s="28" t="e">
        <f>P224+P223+#REF!+P109+#REF!+P6+#REF!+#REF!+#REF!</f>
        <v>#REF!</v>
      </c>
      <c r="Q244" s="28" t="e">
        <f>Q224+Q223+#REF!+Q109+#REF!+Q6+#REF!+#REF!+#REF!</f>
        <v>#REF!</v>
      </c>
      <c r="R244" s="28" t="e">
        <f>R224+R223+#REF!+R109+#REF!+R6+#REF!+#REF!+#REF!</f>
        <v>#REF!</v>
      </c>
      <c r="S244" s="28" t="e">
        <f>S224+S223+#REF!+S109+#REF!+S6+#REF!+#REF!+#REF!</f>
        <v>#REF!</v>
      </c>
      <c r="T244" s="28" t="e">
        <f>T224+T223+#REF!+T109+#REF!+T6+#REF!+#REF!+#REF!</f>
        <v>#REF!</v>
      </c>
      <c r="U244" s="28" t="e">
        <f>U224+U223+#REF!+U109+#REF!+U6+#REF!+#REF!+#REF!</f>
        <v>#REF!</v>
      </c>
      <c r="V244" s="28" t="e">
        <f>V224+V223+#REF!+V109+#REF!+V6+#REF!+#REF!+#REF!</f>
        <v>#REF!</v>
      </c>
      <c r="W244" s="28" t="e">
        <f>W224+W223+#REF!+W109+#REF!+W6+#REF!+#REF!+#REF!</f>
        <v>#REF!</v>
      </c>
      <c r="X244" s="28" t="e">
        <f>X224+X223+#REF!+X109+#REF!+X6+#REF!+#REF!+#REF!</f>
        <v>#REF!</v>
      </c>
      <c r="Y244" s="28" t="e">
        <f>Y224+Y223+#REF!+Y109+#REF!+Y6+#REF!+#REF!+#REF!</f>
        <v>#REF!</v>
      </c>
      <c r="Z244" s="28" t="e">
        <f>Z224+Z223+#REF!+Z109+#REF!+Z6+#REF!+#REF!+#REF!</f>
        <v>#REF!</v>
      </c>
      <c r="AA244" s="28" t="e">
        <f>AA224+AA223+#REF!+AA109+#REF!+AA6+#REF!+#REF!+#REF!</f>
        <v>#REF!</v>
      </c>
      <c r="AB244" s="28" t="e">
        <f>AB224+AB223+#REF!+AB109+#REF!+AB6+#REF!+#REF!+#REF!</f>
        <v>#REF!</v>
      </c>
      <c r="AC244" s="28" t="e">
        <f>AC224+AC223+#REF!+AC109+#REF!+AC6+#REF!+#REF!+#REF!</f>
        <v>#REF!</v>
      </c>
    </row>
    <row r="245" spans="2:29" ht="51" hidden="1" x14ac:dyDescent="0.2">
      <c r="C245" s="16" t="s">
        <v>264</v>
      </c>
      <c r="D245" s="17" t="s">
        <v>274</v>
      </c>
      <c r="E245" s="29">
        <f>E110</f>
        <v>21093.89</v>
      </c>
      <c r="F245" s="29">
        <f t="shared" ref="F245:AC245" si="110">F110</f>
        <v>21093.89</v>
      </c>
      <c r="G245" s="79">
        <f t="shared" si="103"/>
        <v>1</v>
      </c>
      <c r="H245" s="29">
        <f t="shared" si="110"/>
        <v>21093.89</v>
      </c>
      <c r="I245" s="29">
        <f t="shared" si="110"/>
        <v>0</v>
      </c>
      <c r="J245" s="79">
        <f t="shared" si="108"/>
        <v>0</v>
      </c>
      <c r="K245" s="29">
        <f t="shared" si="110"/>
        <v>0</v>
      </c>
      <c r="L245" s="29">
        <f t="shared" si="110"/>
        <v>0</v>
      </c>
      <c r="M245" s="29">
        <f t="shared" si="110"/>
        <v>0</v>
      </c>
      <c r="N245" s="29">
        <f t="shared" si="110"/>
        <v>0</v>
      </c>
      <c r="O245" s="29">
        <f t="shared" si="110"/>
        <v>0</v>
      </c>
      <c r="P245" s="29">
        <f t="shared" si="110"/>
        <v>0</v>
      </c>
      <c r="Q245" s="29">
        <f t="shared" si="110"/>
        <v>0</v>
      </c>
      <c r="R245" s="29">
        <f t="shared" si="110"/>
        <v>0</v>
      </c>
      <c r="S245" s="29">
        <f t="shared" si="110"/>
        <v>0</v>
      </c>
      <c r="T245" s="29">
        <f t="shared" si="110"/>
        <v>0</v>
      </c>
      <c r="U245" s="29">
        <f t="shared" si="110"/>
        <v>0</v>
      </c>
      <c r="V245" s="29">
        <f t="shared" si="110"/>
        <v>0</v>
      </c>
      <c r="W245" s="29">
        <f t="shared" si="110"/>
        <v>0</v>
      </c>
      <c r="X245" s="29">
        <f t="shared" si="110"/>
        <v>0</v>
      </c>
      <c r="Y245" s="29">
        <f t="shared" si="110"/>
        <v>0</v>
      </c>
      <c r="Z245" s="29">
        <f t="shared" si="110"/>
        <v>0</v>
      </c>
      <c r="AA245" s="29">
        <f t="shared" si="110"/>
        <v>0</v>
      </c>
      <c r="AB245" s="29">
        <f t="shared" si="110"/>
        <v>0</v>
      </c>
      <c r="AC245" s="29">
        <f t="shared" si="110"/>
        <v>0</v>
      </c>
    </row>
    <row r="246" spans="2:29" hidden="1" x14ac:dyDescent="0.2">
      <c r="C246" s="12"/>
      <c r="D246" s="11"/>
    </row>
    <row r="247" spans="2:29" x14ac:dyDescent="0.2">
      <c r="B247" s="74"/>
      <c r="C247" s="12"/>
      <c r="D247" s="11"/>
    </row>
    <row r="248" spans="2:29" x14ac:dyDescent="0.2">
      <c r="C248" s="12"/>
      <c r="D248" s="11"/>
    </row>
    <row r="249" spans="2:29" x14ac:dyDescent="0.2">
      <c r="D249" s="11"/>
    </row>
    <row r="250" spans="2:29" x14ac:dyDescent="0.2">
      <c r="D250" s="11"/>
    </row>
  </sheetData>
  <mergeCells count="3">
    <mergeCell ref="A2:J2"/>
    <mergeCell ref="A228:D228"/>
    <mergeCell ref="A1:J1"/>
  </mergeCells>
  <pageMargins left="0.25" right="0.25" top="0.75" bottom="0.54" header="0.3" footer="0.3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2020-11-16T15:53:04Z</cp:lastPrinted>
  <dcterms:created xsi:type="dcterms:W3CDTF">2018-10-01T15:27:17Z</dcterms:created>
  <dcterms:modified xsi:type="dcterms:W3CDTF">2020-11-16T16:04:23Z</dcterms:modified>
</cp:coreProperties>
</file>